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735" i="1"/>
  <c r="C735"/>
  <c r="F734"/>
  <c r="C734"/>
  <c r="F733"/>
  <c r="C733"/>
  <c r="F732"/>
  <c r="C732"/>
  <c r="F731"/>
  <c r="C731"/>
  <c r="F730"/>
  <c r="C730"/>
  <c r="F729"/>
  <c r="C729"/>
  <c r="F728"/>
  <c r="C728"/>
  <c r="F727"/>
  <c r="C727"/>
  <c r="F726"/>
  <c r="C726"/>
  <c r="F725"/>
  <c r="C725"/>
  <c r="F724"/>
  <c r="C724"/>
  <c r="F723"/>
  <c r="C723"/>
  <c r="F722"/>
  <c r="C722"/>
  <c r="F721"/>
  <c r="C721"/>
  <c r="F720"/>
  <c r="C720"/>
  <c r="F719"/>
  <c r="C719"/>
  <c r="F718"/>
  <c r="C718"/>
  <c r="F717"/>
  <c r="C717"/>
  <c r="F716"/>
  <c r="C716"/>
  <c r="F715"/>
  <c r="C715"/>
  <c r="F714"/>
  <c r="C714"/>
  <c r="F713"/>
  <c r="C713"/>
  <c r="F712"/>
  <c r="C712"/>
  <c r="F711"/>
  <c r="C711"/>
  <c r="F710"/>
  <c r="C710"/>
  <c r="F709"/>
  <c r="C709"/>
  <c r="F708"/>
  <c r="C708"/>
  <c r="F707"/>
  <c r="C707"/>
  <c r="F706"/>
  <c r="C706"/>
  <c r="F705"/>
  <c r="C705"/>
  <c r="F704"/>
  <c r="C704"/>
  <c r="F703"/>
  <c r="C703"/>
  <c r="F702"/>
  <c r="C702"/>
  <c r="F701"/>
  <c r="C701"/>
  <c r="F700"/>
  <c r="C700"/>
  <c r="F699"/>
  <c r="C699"/>
  <c r="F698"/>
  <c r="C698"/>
  <c r="F697"/>
  <c r="C697"/>
  <c r="F696"/>
  <c r="C696"/>
  <c r="F695"/>
  <c r="C695"/>
  <c r="F694"/>
  <c r="C694"/>
  <c r="F693"/>
  <c r="C693"/>
  <c r="F692"/>
  <c r="C692"/>
  <c r="F691"/>
  <c r="C691"/>
  <c r="F690"/>
  <c r="C690"/>
  <c r="F689"/>
  <c r="C689"/>
  <c r="F688"/>
  <c r="C688"/>
  <c r="F687"/>
  <c r="C687"/>
  <c r="F686"/>
  <c r="C686"/>
  <c r="F685"/>
  <c r="C685"/>
  <c r="F684"/>
  <c r="C684"/>
  <c r="F683"/>
  <c r="C683"/>
  <c r="F682"/>
  <c r="C682"/>
  <c r="F681"/>
  <c r="C681"/>
  <c r="F680"/>
  <c r="C680"/>
  <c r="F679"/>
  <c r="C679"/>
  <c r="F678"/>
  <c r="C678"/>
  <c r="F677"/>
  <c r="C677"/>
  <c r="F676"/>
  <c r="C676"/>
  <c r="F675"/>
  <c r="C675"/>
  <c r="F674"/>
  <c r="C674"/>
  <c r="F673"/>
  <c r="C673"/>
  <c r="F672"/>
  <c r="C672"/>
  <c r="F671"/>
  <c r="C671"/>
  <c r="F670"/>
  <c r="C670"/>
  <c r="F669"/>
  <c r="C669"/>
  <c r="F668"/>
  <c r="C668"/>
  <c r="F667"/>
  <c r="C667"/>
  <c r="F666"/>
  <c r="C666"/>
  <c r="F665"/>
  <c r="C665"/>
  <c r="F664"/>
  <c r="C664"/>
  <c r="F663"/>
  <c r="C663"/>
  <c r="F662"/>
  <c r="C662"/>
  <c r="F661"/>
  <c r="C661"/>
  <c r="F660"/>
  <c r="C660"/>
  <c r="F659"/>
  <c r="C659"/>
  <c r="F658"/>
  <c r="C658"/>
  <c r="F657"/>
  <c r="C657"/>
  <c r="F656"/>
  <c r="C656"/>
  <c r="F655"/>
  <c r="C655"/>
  <c r="F654"/>
  <c r="C654"/>
  <c r="F653"/>
  <c r="C653"/>
  <c r="F652"/>
  <c r="C652"/>
  <c r="F651"/>
  <c r="C651"/>
  <c r="F650"/>
  <c r="C650"/>
  <c r="F649"/>
  <c r="C649"/>
  <c r="F648"/>
  <c r="C648"/>
  <c r="F647"/>
  <c r="C647"/>
  <c r="F646"/>
  <c r="C646"/>
  <c r="F645"/>
  <c r="C645"/>
  <c r="F644"/>
  <c r="C644"/>
  <c r="F643"/>
  <c r="C643"/>
  <c r="F642"/>
  <c r="C642"/>
  <c r="F641"/>
  <c r="C641"/>
  <c r="F640"/>
  <c r="C640"/>
  <c r="F639"/>
  <c r="C639"/>
  <c r="F638"/>
  <c r="C638"/>
  <c r="F637"/>
  <c r="C637"/>
  <c r="F636"/>
  <c r="C636"/>
  <c r="F635"/>
  <c r="C635"/>
  <c r="F634"/>
  <c r="C634"/>
  <c r="F633"/>
  <c r="C633"/>
  <c r="F632"/>
  <c r="C632"/>
  <c r="F631"/>
  <c r="C631"/>
  <c r="F630"/>
  <c r="C630"/>
  <c r="F629"/>
  <c r="C629"/>
  <c r="F628"/>
  <c r="C628"/>
  <c r="F627"/>
  <c r="C627"/>
  <c r="F626"/>
  <c r="C626"/>
  <c r="F625"/>
  <c r="C625"/>
  <c r="F624"/>
  <c r="C624"/>
  <c r="F623"/>
  <c r="C623"/>
  <c r="F622"/>
  <c r="C622"/>
  <c r="F621"/>
  <c r="C621"/>
  <c r="F620"/>
  <c r="C620"/>
  <c r="F619"/>
  <c r="C619"/>
  <c r="F618"/>
  <c r="C618"/>
  <c r="F617"/>
  <c r="C617"/>
  <c r="F616"/>
  <c r="C616"/>
  <c r="F615"/>
  <c r="C615"/>
  <c r="F614"/>
  <c r="C614"/>
  <c r="F613"/>
  <c r="C613"/>
  <c r="F612"/>
  <c r="C612"/>
  <c r="F611"/>
  <c r="C611"/>
  <c r="F610"/>
  <c r="C610"/>
  <c r="F609"/>
  <c r="C609"/>
  <c r="F608"/>
  <c r="C608"/>
  <c r="F607"/>
  <c r="C607"/>
  <c r="F606"/>
  <c r="C606"/>
  <c r="F605"/>
  <c r="C605"/>
  <c r="F604"/>
  <c r="C604"/>
  <c r="F603"/>
  <c r="C603"/>
  <c r="F602"/>
  <c r="C602"/>
  <c r="F601"/>
  <c r="C601"/>
  <c r="F600"/>
  <c r="C600"/>
  <c r="F599"/>
  <c r="C599"/>
  <c r="F598"/>
  <c r="C598"/>
  <c r="F597"/>
  <c r="C597"/>
  <c r="F596"/>
  <c r="C596"/>
  <c r="F595"/>
  <c r="C595"/>
  <c r="F594"/>
  <c r="C594"/>
  <c r="F593"/>
  <c r="C593"/>
  <c r="F592"/>
  <c r="C592"/>
  <c r="F591"/>
  <c r="C591"/>
  <c r="F590"/>
  <c r="C590"/>
  <c r="F589"/>
  <c r="C589"/>
  <c r="F588"/>
  <c r="C588"/>
  <c r="F587"/>
  <c r="C587"/>
  <c r="F586"/>
  <c r="C586"/>
  <c r="F585"/>
  <c r="C585"/>
  <c r="F584"/>
  <c r="C584"/>
  <c r="F583"/>
  <c r="C583"/>
  <c r="F582"/>
  <c r="C582"/>
  <c r="F581"/>
  <c r="C581"/>
  <c r="F580"/>
  <c r="C580"/>
  <c r="F579"/>
  <c r="C579"/>
  <c r="F578"/>
  <c r="C578"/>
  <c r="F577"/>
  <c r="C577"/>
  <c r="F576"/>
  <c r="C576"/>
  <c r="F575"/>
  <c r="C575"/>
  <c r="F574"/>
  <c r="C574"/>
  <c r="F573"/>
  <c r="C573"/>
  <c r="F572"/>
  <c r="C572"/>
  <c r="F571"/>
  <c r="C571"/>
  <c r="F570"/>
  <c r="C570"/>
  <c r="F569"/>
  <c r="C569"/>
  <c r="F568"/>
  <c r="C568"/>
  <c r="F567"/>
  <c r="C567"/>
  <c r="F566"/>
  <c r="C566"/>
  <c r="F565"/>
  <c r="C565"/>
  <c r="F564"/>
  <c r="C564"/>
  <c r="F563"/>
  <c r="C563"/>
  <c r="F562"/>
  <c r="C562"/>
  <c r="F561"/>
  <c r="C561"/>
  <c r="F560"/>
  <c r="C560"/>
  <c r="F559"/>
  <c r="C559"/>
  <c r="F558"/>
  <c r="C558"/>
  <c r="F557"/>
  <c r="C557"/>
  <c r="F556"/>
  <c r="C556"/>
  <c r="F555"/>
  <c r="C555"/>
  <c r="F554"/>
  <c r="C554"/>
  <c r="F553"/>
  <c r="C553"/>
  <c r="F552"/>
  <c r="C552"/>
  <c r="F551"/>
  <c r="C551"/>
  <c r="F550"/>
  <c r="C550"/>
  <c r="F549"/>
  <c r="C549"/>
  <c r="F548"/>
  <c r="C548"/>
  <c r="F547"/>
  <c r="C547"/>
  <c r="F546"/>
  <c r="C546"/>
  <c r="F545"/>
  <c r="C545"/>
  <c r="F544"/>
  <c r="C544"/>
  <c r="F543"/>
  <c r="C543"/>
  <c r="F542"/>
  <c r="C542"/>
  <c r="F541"/>
  <c r="C541"/>
  <c r="F540"/>
  <c r="C540"/>
  <c r="F539"/>
  <c r="C539"/>
  <c r="F538"/>
  <c r="C538"/>
  <c r="F537"/>
  <c r="C537"/>
  <c r="F536"/>
  <c r="C536"/>
  <c r="F535"/>
  <c r="C535"/>
  <c r="F534"/>
  <c r="C534"/>
  <c r="F533"/>
  <c r="C533"/>
  <c r="F532"/>
  <c r="C532"/>
  <c r="F531"/>
  <c r="C531"/>
  <c r="F530"/>
  <c r="C530"/>
  <c r="F529"/>
  <c r="C529"/>
  <c r="F528"/>
  <c r="C528"/>
  <c r="F527"/>
  <c r="C527"/>
  <c r="F526"/>
  <c r="C526"/>
  <c r="F525"/>
  <c r="C525"/>
  <c r="F524"/>
  <c r="C524"/>
  <c r="F523"/>
  <c r="C523"/>
  <c r="F522"/>
  <c r="C522"/>
  <c r="F521"/>
  <c r="C521"/>
  <c r="F520"/>
  <c r="C520"/>
  <c r="F519"/>
  <c r="C519"/>
  <c r="F518"/>
  <c r="C518"/>
  <c r="F517"/>
  <c r="C517"/>
  <c r="F516"/>
  <c r="C516"/>
  <c r="F515"/>
  <c r="C515"/>
  <c r="F514"/>
  <c r="C514"/>
  <c r="F513"/>
  <c r="C513"/>
  <c r="F512"/>
  <c r="C512"/>
  <c r="F511"/>
  <c r="C511"/>
  <c r="F510"/>
  <c r="C510"/>
  <c r="F509"/>
  <c r="C509"/>
  <c r="F508"/>
  <c r="C508"/>
  <c r="F507"/>
  <c r="C507"/>
  <c r="F506"/>
  <c r="C506"/>
  <c r="F505"/>
  <c r="C505"/>
  <c r="F504"/>
  <c r="C504"/>
  <c r="F503"/>
  <c r="C503"/>
  <c r="F502"/>
  <c r="C502"/>
  <c r="F501"/>
  <c r="C501"/>
  <c r="F500"/>
  <c r="C500"/>
  <c r="F499"/>
  <c r="C499"/>
  <c r="F498"/>
  <c r="C498"/>
  <c r="F497"/>
  <c r="C497"/>
  <c r="F496"/>
  <c r="C496"/>
  <c r="F495"/>
  <c r="C495"/>
  <c r="F494"/>
  <c r="C494"/>
  <c r="F493"/>
  <c r="C493"/>
  <c r="F492"/>
  <c r="C492"/>
  <c r="F491"/>
  <c r="C491"/>
  <c r="F490"/>
  <c r="C490"/>
  <c r="F489"/>
  <c r="C489"/>
  <c r="F488"/>
  <c r="C488"/>
  <c r="F487"/>
  <c r="C487"/>
  <c r="F486"/>
  <c r="C486"/>
  <c r="F485"/>
  <c r="C485"/>
  <c r="F484"/>
  <c r="C484"/>
  <c r="F483"/>
  <c r="C483"/>
  <c r="F482"/>
  <c r="C482"/>
  <c r="F481"/>
  <c r="C481"/>
  <c r="F480"/>
  <c r="C480"/>
  <c r="F479"/>
  <c r="C479"/>
  <c r="F478"/>
  <c r="C478"/>
  <c r="F477"/>
  <c r="C477"/>
  <c r="F476"/>
  <c r="C476"/>
  <c r="F475"/>
  <c r="C475"/>
  <c r="F474"/>
  <c r="C474"/>
  <c r="F473"/>
  <c r="C473"/>
  <c r="F472"/>
  <c r="C472"/>
  <c r="F471"/>
  <c r="C471"/>
  <c r="F470"/>
  <c r="C470"/>
  <c r="F469"/>
  <c r="C469"/>
  <c r="F468"/>
  <c r="C468"/>
  <c r="F467"/>
  <c r="C467"/>
  <c r="F466"/>
  <c r="C466"/>
  <c r="F465"/>
  <c r="C465"/>
  <c r="F464"/>
  <c r="C464"/>
  <c r="F463"/>
  <c r="C463"/>
  <c r="F462"/>
  <c r="C462"/>
  <c r="F461"/>
  <c r="C461"/>
  <c r="F460"/>
  <c r="C460"/>
  <c r="F459"/>
  <c r="C459"/>
  <c r="F458"/>
  <c r="C458"/>
  <c r="F457"/>
  <c r="C457"/>
  <c r="F456"/>
  <c r="C456"/>
  <c r="F455"/>
  <c r="C455"/>
  <c r="F454"/>
  <c r="C454"/>
  <c r="F453"/>
  <c r="C453"/>
  <c r="F452"/>
  <c r="C452"/>
  <c r="F451"/>
  <c r="C451"/>
  <c r="F450"/>
  <c r="C450"/>
  <c r="F449"/>
  <c r="C449"/>
  <c r="F448"/>
  <c r="C448"/>
  <c r="F447"/>
  <c r="C447"/>
  <c r="F446"/>
  <c r="C446"/>
  <c r="F445"/>
  <c r="C445"/>
  <c r="F444"/>
  <c r="C444"/>
  <c r="F443"/>
  <c r="C443"/>
  <c r="F442"/>
  <c r="C442"/>
  <c r="F441"/>
  <c r="C441"/>
  <c r="F440"/>
  <c r="C440"/>
  <c r="F439"/>
  <c r="C439"/>
  <c r="F438"/>
  <c r="C438"/>
  <c r="F437"/>
  <c r="C437"/>
  <c r="F436"/>
  <c r="C436"/>
  <c r="F435"/>
  <c r="C435"/>
  <c r="F434"/>
  <c r="C434"/>
  <c r="F433"/>
  <c r="C433"/>
  <c r="F432"/>
  <c r="C432"/>
  <c r="F431"/>
  <c r="C431"/>
  <c r="F430"/>
  <c r="C430"/>
  <c r="F429"/>
  <c r="C429"/>
  <c r="F428"/>
  <c r="C428"/>
  <c r="F427"/>
  <c r="C427"/>
  <c r="F426"/>
  <c r="C426"/>
  <c r="F425"/>
  <c r="C425"/>
  <c r="F424"/>
  <c r="C424"/>
  <c r="F423"/>
  <c r="C423"/>
  <c r="F422"/>
  <c r="C422"/>
  <c r="F421"/>
  <c r="C421"/>
  <c r="F420"/>
  <c r="C420"/>
  <c r="F419"/>
  <c r="C419"/>
  <c r="F418"/>
  <c r="C418"/>
  <c r="F417"/>
  <c r="C417"/>
  <c r="F416"/>
  <c r="C416"/>
  <c r="F415"/>
  <c r="C415"/>
  <c r="F414"/>
  <c r="C414"/>
  <c r="F413"/>
  <c r="C413"/>
  <c r="F412"/>
  <c r="C412"/>
  <c r="F411"/>
  <c r="C411"/>
  <c r="F410"/>
  <c r="C410"/>
  <c r="F409"/>
  <c r="C409"/>
  <c r="F408"/>
  <c r="C408"/>
  <c r="F407"/>
  <c r="C407"/>
  <c r="F406"/>
  <c r="C406"/>
  <c r="F405"/>
  <c r="C405"/>
  <c r="F404"/>
  <c r="C404"/>
  <c r="F403"/>
  <c r="C403"/>
  <c r="F402"/>
  <c r="C402"/>
  <c r="F401"/>
  <c r="C401"/>
  <c r="F400"/>
  <c r="C400"/>
  <c r="F399"/>
  <c r="C399"/>
  <c r="F398"/>
  <c r="C398"/>
  <c r="F397"/>
  <c r="C397"/>
  <c r="F396"/>
  <c r="C396"/>
  <c r="F395"/>
  <c r="C395"/>
  <c r="F394"/>
  <c r="C394"/>
  <c r="F393"/>
  <c r="C393"/>
  <c r="F392"/>
  <c r="C392"/>
  <c r="F391"/>
  <c r="C391"/>
  <c r="F390"/>
  <c r="C390"/>
  <c r="F389"/>
  <c r="C389"/>
  <c r="F388"/>
  <c r="C388"/>
  <c r="F387"/>
  <c r="C387"/>
  <c r="F386"/>
  <c r="C386"/>
  <c r="F385"/>
  <c r="C385"/>
  <c r="F384"/>
  <c r="C384"/>
  <c r="F383"/>
  <c r="C383"/>
  <c r="F382"/>
  <c r="C382"/>
  <c r="F381"/>
  <c r="C381"/>
  <c r="F380"/>
  <c r="C380"/>
  <c r="F379"/>
  <c r="C379"/>
  <c r="F378"/>
  <c r="C378"/>
  <c r="F377"/>
  <c r="C377"/>
  <c r="F376"/>
  <c r="C376"/>
  <c r="F375"/>
  <c r="C375"/>
  <c r="F374"/>
  <c r="C374"/>
  <c r="F373"/>
  <c r="C373"/>
  <c r="F372"/>
  <c r="C372"/>
  <c r="F371"/>
  <c r="C371"/>
  <c r="F370"/>
  <c r="C370"/>
  <c r="F369"/>
  <c r="C369"/>
  <c r="F368"/>
  <c r="C368"/>
  <c r="F367"/>
  <c r="C367"/>
  <c r="F366"/>
  <c r="C366"/>
  <c r="F365"/>
  <c r="C365"/>
  <c r="F364"/>
  <c r="C364"/>
  <c r="F363"/>
  <c r="C363"/>
  <c r="F362"/>
  <c r="C362"/>
  <c r="F361"/>
  <c r="C361"/>
  <c r="F360"/>
  <c r="C360"/>
  <c r="F359"/>
  <c r="C359"/>
  <c r="F358"/>
  <c r="C358"/>
  <c r="F357"/>
  <c r="C357"/>
  <c r="F356"/>
  <c r="C356"/>
  <c r="F355"/>
  <c r="C355"/>
  <c r="F354"/>
  <c r="C354"/>
  <c r="F353"/>
  <c r="C353"/>
  <c r="F352"/>
  <c r="C352"/>
  <c r="F351"/>
  <c r="C351"/>
  <c r="F350"/>
  <c r="C350"/>
  <c r="F349"/>
  <c r="C349"/>
  <c r="F348"/>
  <c r="C348"/>
  <c r="F347"/>
  <c r="C347"/>
  <c r="F346"/>
  <c r="C346"/>
  <c r="F345"/>
  <c r="C345"/>
  <c r="F344"/>
  <c r="C344"/>
  <c r="F343"/>
  <c r="C343"/>
  <c r="F342"/>
  <c r="C342"/>
  <c r="F341"/>
  <c r="C341"/>
  <c r="F340"/>
  <c r="C340"/>
  <c r="F339"/>
  <c r="C339"/>
  <c r="F338"/>
  <c r="C338"/>
  <c r="F337"/>
  <c r="C337"/>
  <c r="F336"/>
  <c r="C336"/>
  <c r="F335"/>
  <c r="C335"/>
  <c r="F334"/>
  <c r="C334"/>
  <c r="F333"/>
  <c r="C333"/>
  <c r="F332"/>
  <c r="C332"/>
  <c r="F331"/>
  <c r="C331"/>
  <c r="F330"/>
  <c r="C330"/>
  <c r="F329"/>
  <c r="C329"/>
  <c r="F328"/>
  <c r="C328"/>
  <c r="F327"/>
  <c r="C327"/>
  <c r="F326"/>
  <c r="C326"/>
  <c r="F325"/>
  <c r="C325"/>
  <c r="F324"/>
  <c r="C324"/>
  <c r="F323"/>
  <c r="C323"/>
  <c r="F322"/>
  <c r="C322"/>
  <c r="F321"/>
  <c r="C321"/>
  <c r="F320"/>
  <c r="C320"/>
  <c r="F319"/>
  <c r="C319"/>
  <c r="F318"/>
  <c r="C318"/>
  <c r="F317"/>
  <c r="C317"/>
  <c r="F316"/>
  <c r="C316"/>
  <c r="F315"/>
  <c r="C315"/>
  <c r="F314"/>
  <c r="C314"/>
  <c r="F313"/>
  <c r="C313"/>
  <c r="F312"/>
  <c r="C312"/>
  <c r="F311"/>
  <c r="C311"/>
  <c r="F310"/>
  <c r="C310"/>
  <c r="F309"/>
  <c r="C309"/>
  <c r="F308"/>
  <c r="C308"/>
  <c r="F307"/>
  <c r="C307"/>
  <c r="F306"/>
  <c r="C306"/>
  <c r="F305"/>
  <c r="C305"/>
  <c r="F304"/>
  <c r="C304"/>
  <c r="F303"/>
  <c r="C303"/>
  <c r="F302"/>
  <c r="C302"/>
  <c r="F301"/>
  <c r="C301"/>
  <c r="F300"/>
  <c r="C300"/>
  <c r="F299"/>
  <c r="C299"/>
  <c r="F298"/>
  <c r="C298"/>
  <c r="F297"/>
  <c r="C297"/>
  <c r="F296"/>
  <c r="C296"/>
  <c r="F295"/>
  <c r="C295"/>
  <c r="F294"/>
  <c r="C294"/>
  <c r="F293"/>
  <c r="C293"/>
  <c r="F292"/>
  <c r="C292"/>
  <c r="F291"/>
  <c r="C291"/>
  <c r="F290"/>
  <c r="C290"/>
  <c r="F289"/>
  <c r="C289"/>
  <c r="F288"/>
  <c r="C288"/>
  <c r="F287"/>
  <c r="C287"/>
  <c r="F286"/>
  <c r="C286"/>
  <c r="F285"/>
  <c r="C285"/>
  <c r="F284"/>
  <c r="C284"/>
  <c r="F283"/>
  <c r="C283"/>
  <c r="F282"/>
  <c r="C282"/>
  <c r="F281"/>
  <c r="C281"/>
  <c r="F280"/>
  <c r="C280"/>
  <c r="F279"/>
  <c r="C279"/>
  <c r="F278"/>
  <c r="C278"/>
  <c r="F277"/>
  <c r="C277"/>
  <c r="F276"/>
  <c r="C276"/>
  <c r="F275"/>
  <c r="C275"/>
  <c r="F274"/>
  <c r="C274"/>
  <c r="F273"/>
  <c r="C273"/>
  <c r="F272"/>
  <c r="C272"/>
  <c r="F271"/>
  <c r="C271"/>
  <c r="F270"/>
  <c r="C270"/>
  <c r="F269"/>
  <c r="C269"/>
  <c r="F268"/>
  <c r="C268"/>
  <c r="F267"/>
  <c r="C267"/>
  <c r="F266"/>
  <c r="C266"/>
  <c r="F265"/>
  <c r="C265"/>
  <c r="F264"/>
  <c r="C264"/>
  <c r="F263"/>
  <c r="C263"/>
  <c r="F262"/>
  <c r="C262"/>
  <c r="F261"/>
  <c r="C261"/>
  <c r="F260"/>
  <c r="C260"/>
  <c r="F259"/>
  <c r="C259"/>
  <c r="F258"/>
  <c r="C258"/>
  <c r="F257"/>
  <c r="C257"/>
  <c r="F256"/>
  <c r="C256"/>
  <c r="F255"/>
  <c r="C255"/>
  <c r="F254"/>
  <c r="C254"/>
  <c r="F253"/>
  <c r="C253"/>
  <c r="F252"/>
  <c r="C252"/>
  <c r="F251"/>
  <c r="C251"/>
  <c r="F250"/>
  <c r="C250"/>
  <c r="F249"/>
  <c r="C249"/>
  <c r="F248"/>
  <c r="C248"/>
  <c r="F247"/>
  <c r="C247"/>
  <c r="F246"/>
  <c r="C246"/>
  <c r="F245"/>
  <c r="C245"/>
  <c r="F244"/>
  <c r="C244"/>
  <c r="F243"/>
  <c r="C243"/>
  <c r="F242"/>
  <c r="C242"/>
  <c r="F241"/>
  <c r="C241"/>
  <c r="F240"/>
  <c r="C240"/>
  <c r="F239"/>
  <c r="C239"/>
  <c r="F238"/>
  <c r="C238"/>
  <c r="F237"/>
  <c r="C237"/>
  <c r="F236"/>
  <c r="C236"/>
  <c r="F235"/>
  <c r="C235"/>
  <c r="F234"/>
  <c r="C234"/>
  <c r="F233"/>
  <c r="C233"/>
  <c r="F232"/>
  <c r="C232"/>
  <c r="F231"/>
  <c r="C231"/>
  <c r="F230"/>
  <c r="C230"/>
  <c r="F229"/>
  <c r="C229"/>
  <c r="F228"/>
  <c r="C228"/>
  <c r="F227"/>
  <c r="C227"/>
  <c r="F226"/>
  <c r="C226"/>
  <c r="F225"/>
  <c r="C225"/>
  <c r="F224"/>
  <c r="C224"/>
  <c r="F223"/>
  <c r="C223"/>
  <c r="F222"/>
  <c r="C222"/>
  <c r="F221"/>
  <c r="C221"/>
  <c r="F220"/>
  <c r="C220"/>
  <c r="F219"/>
  <c r="C219"/>
  <c r="F218"/>
  <c r="C218"/>
  <c r="F217"/>
  <c r="C217"/>
  <c r="F216"/>
  <c r="C216"/>
  <c r="F215"/>
  <c r="C215"/>
  <c r="F214"/>
  <c r="C214"/>
  <c r="F213"/>
  <c r="C213"/>
  <c r="F212"/>
  <c r="C212"/>
  <c r="F211"/>
  <c r="C211"/>
  <c r="F210"/>
  <c r="C210"/>
  <c r="F209"/>
  <c r="C209"/>
  <c r="F208"/>
  <c r="C208"/>
  <c r="F207"/>
  <c r="C207"/>
  <c r="F206"/>
  <c r="C206"/>
  <c r="F205"/>
  <c r="C205"/>
  <c r="F204"/>
  <c r="C204"/>
  <c r="F203"/>
  <c r="C203"/>
  <c r="F202"/>
  <c r="C202"/>
  <c r="F201"/>
  <c r="C201"/>
  <c r="F200"/>
  <c r="C200"/>
  <c r="F199"/>
  <c r="C199"/>
  <c r="F198"/>
  <c r="C198"/>
  <c r="F197"/>
  <c r="C197"/>
  <c r="F196"/>
  <c r="C196"/>
  <c r="F195"/>
  <c r="C195"/>
  <c r="F194"/>
  <c r="C194"/>
  <c r="F193"/>
  <c r="C193"/>
  <c r="F192"/>
  <c r="C192"/>
  <c r="F191"/>
  <c r="C191"/>
  <c r="F190"/>
  <c r="C190"/>
  <c r="F189"/>
  <c r="C189"/>
  <c r="F188"/>
  <c r="C188"/>
  <c r="F187"/>
  <c r="C187"/>
  <c r="F186"/>
  <c r="C186"/>
  <c r="F185"/>
  <c r="C185"/>
  <c r="F184"/>
  <c r="C184"/>
  <c r="F183"/>
  <c r="C183"/>
  <c r="F182"/>
  <c r="C182"/>
  <c r="F181"/>
  <c r="C181"/>
  <c r="F180"/>
  <c r="C180"/>
  <c r="F179"/>
  <c r="C179"/>
  <c r="F178"/>
  <c r="C178"/>
  <c r="F177"/>
  <c r="C177"/>
  <c r="F176"/>
  <c r="C176"/>
  <c r="F175"/>
  <c r="C175"/>
  <c r="F174"/>
  <c r="C174"/>
  <c r="F173"/>
  <c r="C173"/>
  <c r="F172"/>
  <c r="C172"/>
  <c r="F171"/>
  <c r="C171"/>
  <c r="F170"/>
  <c r="C170"/>
  <c r="F169"/>
  <c r="C169"/>
  <c r="F168"/>
  <c r="C168"/>
  <c r="F167"/>
  <c r="C167"/>
  <c r="F166"/>
  <c r="C166"/>
  <c r="F165"/>
  <c r="C165"/>
  <c r="F164"/>
  <c r="C164"/>
  <c r="F163"/>
  <c r="C163"/>
  <c r="F162"/>
  <c r="C162"/>
  <c r="F161"/>
  <c r="C161"/>
  <c r="F160"/>
  <c r="C160"/>
  <c r="F159"/>
  <c r="C159"/>
  <c r="F158"/>
  <c r="C158"/>
  <c r="F157"/>
  <c r="C157"/>
  <c r="F156"/>
  <c r="C156"/>
  <c r="F155"/>
  <c r="C155"/>
  <c r="F154"/>
  <c r="C154"/>
  <c r="F153"/>
  <c r="C153"/>
  <c r="F152"/>
  <c r="C152"/>
  <c r="F151"/>
  <c r="C151"/>
  <c r="F150"/>
  <c r="C150"/>
  <c r="F149"/>
  <c r="C149"/>
  <c r="F148"/>
  <c r="C148"/>
  <c r="F147"/>
  <c r="C147"/>
  <c r="F146"/>
  <c r="C146"/>
  <c r="F145"/>
  <c r="C145"/>
  <c r="F144"/>
  <c r="C144"/>
  <c r="F143"/>
  <c r="C143"/>
  <c r="F142"/>
  <c r="C142"/>
  <c r="F141"/>
  <c r="C141"/>
  <c r="F140"/>
  <c r="C140"/>
  <c r="F139"/>
  <c r="C139"/>
  <c r="F138"/>
  <c r="C138"/>
  <c r="F137"/>
  <c r="C137"/>
  <c r="F136"/>
  <c r="C136"/>
  <c r="F135"/>
  <c r="C135"/>
  <c r="F134"/>
  <c r="C134"/>
  <c r="F133"/>
  <c r="C133"/>
  <c r="F132"/>
  <c r="C132"/>
  <c r="F131"/>
  <c r="C131"/>
  <c r="F130"/>
  <c r="C130"/>
  <c r="F129"/>
  <c r="C129"/>
  <c r="F128"/>
  <c r="C128"/>
  <c r="F127"/>
  <c r="C127"/>
  <c r="F126"/>
  <c r="C126"/>
  <c r="F125"/>
  <c r="C125"/>
  <c r="F124"/>
  <c r="C124"/>
  <c r="F123"/>
  <c r="C123"/>
  <c r="F122"/>
  <c r="C122"/>
  <c r="F121"/>
  <c r="C121"/>
  <c r="F120"/>
  <c r="C120"/>
  <c r="F119"/>
  <c r="C119"/>
  <c r="F118"/>
  <c r="C118"/>
  <c r="F117"/>
  <c r="C117"/>
  <c r="F116"/>
  <c r="C116"/>
  <c r="F115"/>
  <c r="C115"/>
  <c r="F114"/>
  <c r="C114"/>
  <c r="F113"/>
  <c r="C113"/>
  <c r="F112"/>
  <c r="C112"/>
  <c r="F111"/>
  <c r="C111"/>
  <c r="F110"/>
  <c r="C110"/>
  <c r="F109"/>
  <c r="C109"/>
  <c r="F108"/>
  <c r="C108"/>
  <c r="F107"/>
  <c r="C107"/>
  <c r="F106"/>
  <c r="C106"/>
  <c r="F105"/>
  <c r="C105"/>
  <c r="F104"/>
  <c r="C104"/>
  <c r="F103"/>
  <c r="C103"/>
  <c r="F102"/>
  <c r="C102"/>
  <c r="F101"/>
  <c r="C101"/>
  <c r="F100"/>
  <c r="C100"/>
  <c r="F99"/>
  <c r="C99"/>
  <c r="F98"/>
  <c r="C98"/>
  <c r="F97"/>
  <c r="C97"/>
  <c r="F96"/>
  <c r="C96"/>
  <c r="F95"/>
  <c r="C95"/>
  <c r="F94"/>
  <c r="C94"/>
  <c r="F93"/>
  <c r="C93"/>
  <c r="F92"/>
  <c r="C92"/>
  <c r="F91"/>
  <c r="C91"/>
  <c r="F90"/>
  <c r="C90"/>
  <c r="F89"/>
  <c r="C89"/>
  <c r="F88"/>
  <c r="C88"/>
  <c r="F87"/>
  <c r="C87"/>
  <c r="F86"/>
  <c r="C86"/>
  <c r="F85"/>
  <c r="C85"/>
  <c r="F84"/>
  <c r="C84"/>
  <c r="F83"/>
  <c r="C83"/>
  <c r="F82"/>
  <c r="C82"/>
  <c r="F81"/>
  <c r="C81"/>
  <c r="F80"/>
  <c r="C80"/>
  <c r="F79"/>
  <c r="C79"/>
  <c r="F78"/>
  <c r="C78"/>
  <c r="F77"/>
  <c r="C77"/>
  <c r="F76"/>
  <c r="C76"/>
  <c r="F75"/>
  <c r="C75"/>
  <c r="F74"/>
  <c r="C74"/>
  <c r="F73"/>
  <c r="C73"/>
  <c r="F72"/>
  <c r="C72"/>
  <c r="F71"/>
  <c r="C71"/>
  <c r="F70"/>
  <c r="C70"/>
  <c r="F69"/>
  <c r="C69"/>
  <c r="F68"/>
  <c r="C68"/>
  <c r="F67"/>
  <c r="C67"/>
  <c r="F66"/>
  <c r="C66"/>
  <c r="F65"/>
  <c r="C65"/>
  <c r="F64"/>
  <c r="C64"/>
  <c r="F63"/>
  <c r="C63"/>
  <c r="F62"/>
  <c r="C62"/>
  <c r="F61"/>
  <c r="C61"/>
  <c r="F60"/>
  <c r="C60"/>
  <c r="F59"/>
  <c r="C59"/>
  <c r="F58"/>
  <c r="C58"/>
  <c r="F57"/>
  <c r="C57"/>
  <c r="F56"/>
  <c r="C56"/>
  <c r="F55"/>
  <c r="C55"/>
  <c r="F54"/>
  <c r="C54"/>
  <c r="F53"/>
  <c r="C53"/>
  <c r="F52"/>
  <c r="C52"/>
  <c r="F51"/>
  <c r="C51"/>
  <c r="F50"/>
  <c r="C50"/>
  <c r="F49"/>
  <c r="C49"/>
  <c r="F48"/>
  <c r="C48"/>
  <c r="F47"/>
  <c r="C47"/>
  <c r="F46"/>
  <c r="C46"/>
  <c r="F45"/>
  <c r="C45"/>
  <c r="F44"/>
  <c r="C44"/>
  <c r="F43"/>
  <c r="C43"/>
  <c r="F42"/>
  <c r="C42"/>
  <c r="F41"/>
  <c r="C41"/>
  <c r="F40"/>
  <c r="C40"/>
  <c r="F39"/>
  <c r="C39"/>
  <c r="F38"/>
  <c r="C38"/>
  <c r="F37"/>
  <c r="C37"/>
  <c r="F36"/>
  <c r="C36"/>
  <c r="F35"/>
  <c r="C35"/>
  <c r="F34"/>
  <c r="C34"/>
  <c r="F33"/>
  <c r="C33"/>
  <c r="F32"/>
  <c r="C32"/>
  <c r="F31"/>
  <c r="C31"/>
  <c r="F30"/>
  <c r="C30"/>
  <c r="F29"/>
  <c r="C29"/>
  <c r="F28"/>
  <c r="C28"/>
  <c r="F27"/>
  <c r="C27"/>
  <c r="F26"/>
  <c r="C26"/>
  <c r="F25"/>
  <c r="C25"/>
  <c r="F24"/>
  <c r="C24"/>
  <c r="F23"/>
  <c r="C23"/>
  <c r="F22"/>
  <c r="C22"/>
  <c r="F21"/>
  <c r="C21"/>
  <c r="F20"/>
  <c r="C20"/>
  <c r="F19"/>
  <c r="C19"/>
  <c r="F18"/>
  <c r="C18"/>
  <c r="F17"/>
  <c r="C17"/>
  <c r="F16"/>
  <c r="C16"/>
  <c r="F15"/>
  <c r="C15"/>
  <c r="F14"/>
  <c r="C14"/>
  <c r="F13"/>
  <c r="C13"/>
  <c r="F12"/>
  <c r="C12"/>
  <c r="F11"/>
  <c r="C11"/>
  <c r="F10"/>
  <c r="C10"/>
  <c r="F9"/>
  <c r="C9"/>
  <c r="F8"/>
  <c r="C8"/>
  <c r="F7"/>
  <c r="C7"/>
  <c r="F6"/>
  <c r="C6"/>
  <c r="F5"/>
  <c r="C5"/>
  <c r="F4"/>
  <c r="C4"/>
</calcChain>
</file>

<file path=xl/sharedStrings.xml><?xml version="1.0" encoding="utf-8"?>
<sst xmlns="http://schemas.openxmlformats.org/spreadsheetml/2006/main" count="743" uniqueCount="206">
  <si>
    <t>序号</t>
    <phoneticPr fontId="3" type="noConversion"/>
  </si>
  <si>
    <t>岗位代码</t>
    <phoneticPr fontId="3" type="noConversion"/>
  </si>
  <si>
    <t>准考证号码</t>
    <phoneticPr fontId="3" type="noConversion"/>
  </si>
  <si>
    <t>公共基础知识成绩</t>
    <phoneticPr fontId="3" type="noConversion"/>
  </si>
  <si>
    <t>职业能力测试成绩</t>
    <phoneticPr fontId="3" type="noConversion"/>
  </si>
  <si>
    <t>笔试合成成绩</t>
    <phoneticPr fontId="3" type="noConversion"/>
  </si>
  <si>
    <t>备注</t>
    <phoneticPr fontId="3" type="noConversion"/>
  </si>
  <si>
    <t>2020001-专业技术</t>
  </si>
  <si>
    <t>2020002-管理</t>
  </si>
  <si>
    <t>2020003-管理</t>
  </si>
  <si>
    <t>2020004-专业技术</t>
  </si>
  <si>
    <t>2020005-管理</t>
  </si>
  <si>
    <t>2020006-专业技术</t>
  </si>
  <si>
    <t>2020007-专业技术</t>
  </si>
  <si>
    <t>2020008-管理</t>
  </si>
  <si>
    <t>2020009-专业技术</t>
  </si>
  <si>
    <t>2020010-专业技术</t>
  </si>
  <si>
    <t>2020011-专业技术</t>
  </si>
  <si>
    <t>2020012-专业技术</t>
  </si>
  <si>
    <t>2020013-专业技术</t>
  </si>
  <si>
    <t>2020014-专业技术</t>
  </si>
  <si>
    <t>2020015-专业技术</t>
  </si>
  <si>
    <t>2020016-专业技术</t>
  </si>
  <si>
    <t>2020017-专业技术</t>
  </si>
  <si>
    <t>2020018-专业技术</t>
  </si>
  <si>
    <t>2020019-专业技术</t>
  </si>
  <si>
    <t>2020020-专业技术</t>
  </si>
  <si>
    <t>2020021-专业技术</t>
  </si>
  <si>
    <t>2020022-专业技术</t>
  </si>
  <si>
    <t>2020023-专业技术</t>
  </si>
  <si>
    <t>2020024-专业技术</t>
  </si>
  <si>
    <t>2020025-专业技术</t>
  </si>
  <si>
    <t>2020026-专业技术</t>
  </si>
  <si>
    <t>2020027-专业技术</t>
  </si>
  <si>
    <t>2020028-管理</t>
  </si>
  <si>
    <t>2020029-管理</t>
  </si>
  <si>
    <t>2020030-管理</t>
  </si>
  <si>
    <t>2020031-专业技术</t>
  </si>
  <si>
    <t>2020032-专业技术</t>
  </si>
  <si>
    <t>2020033-专业技术</t>
  </si>
  <si>
    <t>2020034-管理</t>
  </si>
  <si>
    <t>2020035-专业技术</t>
  </si>
  <si>
    <t>2020036-专业技术</t>
  </si>
  <si>
    <t>2020037-专业技术</t>
  </si>
  <si>
    <t>2020038-专业技术</t>
  </si>
  <si>
    <t>2020039-专业技术</t>
  </si>
  <si>
    <t>2020040-管理</t>
  </si>
  <si>
    <t>2020041-专业技术</t>
  </si>
  <si>
    <t>2020042-专业技术</t>
  </si>
  <si>
    <t>2020043-专业技术</t>
  </si>
  <si>
    <t>2020044-专业技术</t>
  </si>
  <si>
    <t>2020045-专业技术</t>
  </si>
  <si>
    <t>2020046-专业技术</t>
  </si>
  <si>
    <t>2020047-专业技术</t>
  </si>
  <si>
    <t>2020048-专业技术</t>
  </si>
  <si>
    <t>2020049-专业技术</t>
  </si>
  <si>
    <t>2020050-专业技术</t>
  </si>
  <si>
    <t>2020051-专业技术</t>
  </si>
  <si>
    <t>2020052-专业技术</t>
  </si>
  <si>
    <t>2020053-管理</t>
  </si>
  <si>
    <t>2020054-专业技术</t>
  </si>
  <si>
    <t>2020055-专业技术</t>
  </si>
  <si>
    <t>2020056-专业技术</t>
  </si>
  <si>
    <t>2020057-专业技术</t>
  </si>
  <si>
    <t>2020058-专业技术</t>
  </si>
  <si>
    <t>2020059-管理</t>
  </si>
  <si>
    <t>2020060-专业技术</t>
  </si>
  <si>
    <t>2020061-管理</t>
  </si>
  <si>
    <t>2020062-管理</t>
  </si>
  <si>
    <t>2020063-管理</t>
  </si>
  <si>
    <t>2020064-专业技术</t>
  </si>
  <si>
    <t>2020065-专业技术</t>
  </si>
  <si>
    <t>2020066-专业技术</t>
  </si>
  <si>
    <t>2020067-专业技术</t>
  </si>
  <si>
    <t>2020068-管理</t>
  </si>
  <si>
    <t>2020069-管理</t>
  </si>
  <si>
    <t>2020070-管理</t>
  </si>
  <si>
    <t>2020072-专业技术</t>
  </si>
  <si>
    <t>2020073-专业技术</t>
  </si>
  <si>
    <t>2020074-管理</t>
  </si>
  <si>
    <t>2020075-管理</t>
  </si>
  <si>
    <t>2020077-专业技术</t>
  </si>
  <si>
    <t>2020078-专业技术</t>
  </si>
  <si>
    <t>2020079-专业技术</t>
  </si>
  <si>
    <t>2020080-管理</t>
  </si>
  <si>
    <t>2020081-管理</t>
  </si>
  <si>
    <t>2020082-管理</t>
  </si>
  <si>
    <t>2020083-专业技术</t>
  </si>
  <si>
    <t>2020084-专业技术</t>
  </si>
  <si>
    <t>2020085-专业技术</t>
  </si>
  <si>
    <t>2020086-专业技术</t>
  </si>
  <si>
    <t>2020087-管理</t>
  </si>
  <si>
    <t>2020088-专业技术</t>
  </si>
  <si>
    <t>2020089-专业技术</t>
  </si>
  <si>
    <t>2020090-管理</t>
  </si>
  <si>
    <t>2020091-专业技术</t>
  </si>
  <si>
    <t>2020092-管理</t>
  </si>
  <si>
    <t>2020093-专业技术</t>
  </si>
  <si>
    <t>2020094-专业技术</t>
  </si>
  <si>
    <t>2020095-专业技术</t>
  </si>
  <si>
    <t>2020096-专业技术</t>
  </si>
  <si>
    <t>2020097-专业技术</t>
  </si>
  <si>
    <t>2020098-专业技术</t>
  </si>
  <si>
    <t>2020099-管理</t>
  </si>
  <si>
    <t>2020100-管理</t>
  </si>
  <si>
    <t>2020101-管理</t>
  </si>
  <si>
    <t>2020102-管理</t>
  </si>
  <si>
    <t>2020103-管理</t>
  </si>
  <si>
    <t>2020104-专业技术</t>
  </si>
  <si>
    <t>2020105-管理</t>
  </si>
  <si>
    <t>2020106-管理</t>
  </si>
  <si>
    <t>2020107-专业技术</t>
  </si>
  <si>
    <t>2020108-管理</t>
  </si>
  <si>
    <t>2020109-专业技术</t>
  </si>
  <si>
    <t>2020110-管理</t>
  </si>
  <si>
    <t>2020111-专业技术</t>
  </si>
  <si>
    <t>2020114-专业技术</t>
  </si>
  <si>
    <t>2020119-专业技术</t>
  </si>
  <si>
    <t>2020121-专业技术</t>
  </si>
  <si>
    <t>2020122-专业技术</t>
  </si>
  <si>
    <t>2020123-管理</t>
  </si>
  <si>
    <t>2020124-专业技术</t>
  </si>
  <si>
    <t>2020125-专业技术</t>
  </si>
  <si>
    <t>2020126-专业技术</t>
  </si>
  <si>
    <t>2020127-专业技术</t>
  </si>
  <si>
    <t>2020128-专业技术</t>
  </si>
  <si>
    <t>2020129-管理</t>
  </si>
  <si>
    <t>2020130-管理</t>
  </si>
  <si>
    <t>2020131-专业技术</t>
  </si>
  <si>
    <t>2020132-管理</t>
  </si>
  <si>
    <t>2020133-管理</t>
  </si>
  <si>
    <t>2020134-管理</t>
  </si>
  <si>
    <t>2020135-专业技术</t>
  </si>
  <si>
    <t>2020136-管理</t>
  </si>
  <si>
    <t>2020137-管理</t>
  </si>
  <si>
    <t>2020138-专业技术</t>
  </si>
  <si>
    <t>2020139-专业技术</t>
  </si>
  <si>
    <t>2020140-管理</t>
  </si>
  <si>
    <t>2020141-专业技术</t>
  </si>
  <si>
    <t>2020142-专业技术</t>
  </si>
  <si>
    <t>2020143-专业技术</t>
  </si>
  <si>
    <t>2020144-专业技术</t>
  </si>
  <si>
    <t>2020145-专业技术</t>
  </si>
  <si>
    <t>2020147-专业技术</t>
  </si>
  <si>
    <t>2020148-专业技术</t>
  </si>
  <si>
    <t>2020149-专业技术</t>
  </si>
  <si>
    <t>2020150-专业技术</t>
  </si>
  <si>
    <t>2020151-专业技术</t>
  </si>
  <si>
    <t>2020152-专业技术</t>
  </si>
  <si>
    <t>2020153-专业技术</t>
  </si>
  <si>
    <t>2020154-专业技术</t>
  </si>
  <si>
    <t>2020155-管理</t>
  </si>
  <si>
    <t>2020156-专业技术</t>
  </si>
  <si>
    <t>2020158-专业技术</t>
  </si>
  <si>
    <t>2020159-专业技术</t>
  </si>
  <si>
    <t>2020160-管理</t>
  </si>
  <si>
    <t>2020162-专业技术</t>
  </si>
  <si>
    <t>2020165-专业技术</t>
  </si>
  <si>
    <t>2020168-管理</t>
  </si>
  <si>
    <t>2020169-专业技术</t>
  </si>
  <si>
    <t>2020170-专业技术</t>
  </si>
  <si>
    <t>2020171-管理</t>
  </si>
  <si>
    <t>2020172-专业技术</t>
  </si>
  <si>
    <t>2020173-专业技术</t>
  </si>
  <si>
    <t>2020174-专业技术</t>
  </si>
  <si>
    <t>2020175-专业技术</t>
  </si>
  <si>
    <t>2020176-专业技术</t>
  </si>
  <si>
    <t>2020177-专业技术</t>
  </si>
  <si>
    <t>2020181-专业技术</t>
  </si>
  <si>
    <t>2020182-专业技术</t>
  </si>
  <si>
    <t>2020183-管理</t>
  </si>
  <si>
    <t>2020184-专业技术</t>
  </si>
  <si>
    <t>2020185-专业技术</t>
  </si>
  <si>
    <t>2020186-专业技术</t>
  </si>
  <si>
    <t>2020187-专业技术</t>
  </si>
  <si>
    <t>2020188-管理</t>
  </si>
  <si>
    <t>2020189-管理</t>
  </si>
  <si>
    <t>2020190-管理</t>
  </si>
  <si>
    <t>2020191-专业技术</t>
  </si>
  <si>
    <t>2020192-专业技术</t>
  </si>
  <si>
    <t>2020193-专业技术</t>
  </si>
  <si>
    <t>2020194-专业技术</t>
  </si>
  <si>
    <t>2020195-专业技术</t>
  </si>
  <si>
    <t>2020196-专业技术</t>
  </si>
  <si>
    <t>2020197-专业技术</t>
  </si>
  <si>
    <t>2020198-专业技术</t>
  </si>
  <si>
    <t>2020199-专业技术</t>
  </si>
  <si>
    <t>2020200-专业技术</t>
  </si>
  <si>
    <t>2020201-专业技术</t>
  </si>
  <si>
    <t>2020202-专业技术</t>
  </si>
  <si>
    <t>2020203-专业技术</t>
  </si>
  <si>
    <t>2020204-专业技术</t>
  </si>
  <si>
    <t>2020205-管理</t>
  </si>
  <si>
    <t>2020206-管理</t>
  </si>
  <si>
    <t>2020207-专业技术</t>
  </si>
  <si>
    <t>2020209-专业技术</t>
  </si>
  <si>
    <t>2020210-专业技术</t>
  </si>
  <si>
    <t>2020211-专业技术</t>
  </si>
  <si>
    <t>2020212-管理岗</t>
  </si>
  <si>
    <t>2020213-专业技术</t>
  </si>
  <si>
    <t>2020214-专业技术</t>
  </si>
  <si>
    <t>2020215-专业技术</t>
  </si>
  <si>
    <t>2020216-管理</t>
  </si>
  <si>
    <t>含加分</t>
    <phoneticPr fontId="3" type="noConversion"/>
  </si>
  <si>
    <t>2020年度淮北市事业单位公开招聘进入资格复审人员名单</t>
    <phoneticPr fontId="3" type="noConversion"/>
  </si>
  <si>
    <t>附件1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</si>
</sst>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18"/>
      <color theme="1"/>
      <name val="方正大标宋简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name val="Arial"/>
      <family val="2"/>
    </font>
    <font>
      <sz val="10"/>
      <name val="黑体"/>
      <family val="3"/>
      <charset val="134"/>
    </font>
    <font>
      <sz val="11"/>
      <name val="宋体"/>
      <family val="2"/>
      <charset val="134"/>
      <scheme val="minor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49" fontId="5" fillId="0" borderId="1" xfId="1" applyNumberFormat="1" applyFont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35"/>
  <sheetViews>
    <sheetView tabSelected="1" topLeftCell="A388" workbookViewId="0">
      <selection activeCell="B252" sqref="B252:G252"/>
    </sheetView>
  </sheetViews>
  <sheetFormatPr defaultRowHeight="13.5"/>
  <cols>
    <col min="2" max="2" width="19.75" customWidth="1"/>
    <col min="3" max="3" width="13.375" customWidth="1"/>
  </cols>
  <sheetData>
    <row r="1" spans="1:7" ht="44.25" customHeight="1">
      <c r="A1" s="11" t="s">
        <v>205</v>
      </c>
    </row>
    <row r="2" spans="1:7" ht="48.75" customHeight="1">
      <c r="A2" s="12" t="s">
        <v>204</v>
      </c>
      <c r="B2" s="12"/>
      <c r="C2" s="12"/>
      <c r="D2" s="12"/>
      <c r="E2" s="12"/>
      <c r="F2" s="12"/>
      <c r="G2" s="12"/>
    </row>
    <row r="3" spans="1:7" ht="27">
      <c r="A3" s="1" t="s">
        <v>0</v>
      </c>
      <c r="B3" s="1" t="s">
        <v>1</v>
      </c>
      <c r="C3" s="1" t="s">
        <v>2</v>
      </c>
      <c r="D3" s="2" t="s">
        <v>3</v>
      </c>
      <c r="E3" s="3" t="s">
        <v>4</v>
      </c>
      <c r="F3" s="3" t="s">
        <v>5</v>
      </c>
      <c r="G3" s="1" t="s">
        <v>6</v>
      </c>
    </row>
    <row r="4" spans="1:7">
      <c r="A4" s="4">
        <v>1</v>
      </c>
      <c r="B4" s="5" t="s">
        <v>7</v>
      </c>
      <c r="C4" s="6" t="str">
        <f>"2020013920"</f>
        <v>2020013920</v>
      </c>
      <c r="D4" s="7">
        <v>73.5</v>
      </c>
      <c r="E4" s="8">
        <v>80.5</v>
      </c>
      <c r="F4" s="9">
        <f t="shared" ref="F4:F67" si="0">SUM(D4:E4)</f>
        <v>154</v>
      </c>
      <c r="G4" s="10"/>
    </row>
    <row r="5" spans="1:7">
      <c r="A5" s="4">
        <v>2</v>
      </c>
      <c r="B5" s="5" t="s">
        <v>7</v>
      </c>
      <c r="C5" s="6" t="str">
        <f>"2020032523"</f>
        <v>2020032523</v>
      </c>
      <c r="D5" s="7">
        <v>65</v>
      </c>
      <c r="E5" s="8">
        <v>87.5</v>
      </c>
      <c r="F5" s="9">
        <f t="shared" si="0"/>
        <v>152.5</v>
      </c>
      <c r="G5" s="10"/>
    </row>
    <row r="6" spans="1:7">
      <c r="A6" s="4">
        <v>3</v>
      </c>
      <c r="B6" s="5" t="s">
        <v>7</v>
      </c>
      <c r="C6" s="6" t="str">
        <f>"2020031209"</f>
        <v>2020031209</v>
      </c>
      <c r="D6" s="7">
        <v>66.3</v>
      </c>
      <c r="E6" s="8">
        <v>71.5</v>
      </c>
      <c r="F6" s="9">
        <f t="shared" si="0"/>
        <v>137.80000000000001</v>
      </c>
      <c r="G6" s="10"/>
    </row>
    <row r="7" spans="1:7">
      <c r="A7" s="4">
        <v>4</v>
      </c>
      <c r="B7" s="5" t="s">
        <v>8</v>
      </c>
      <c r="C7" s="6" t="str">
        <f>"2020032819"</f>
        <v>2020032819</v>
      </c>
      <c r="D7" s="7">
        <v>73.400000000000006</v>
      </c>
      <c r="E7" s="8">
        <v>82</v>
      </c>
      <c r="F7" s="9">
        <f t="shared" si="0"/>
        <v>155.4</v>
      </c>
      <c r="G7" s="10"/>
    </row>
    <row r="8" spans="1:7">
      <c r="A8" s="4">
        <v>5</v>
      </c>
      <c r="B8" s="5" t="s">
        <v>8</v>
      </c>
      <c r="C8" s="6" t="str">
        <f>"2020023424"</f>
        <v>2020023424</v>
      </c>
      <c r="D8" s="7">
        <v>74.400000000000006</v>
      </c>
      <c r="E8" s="8">
        <v>78</v>
      </c>
      <c r="F8" s="9">
        <f t="shared" si="0"/>
        <v>152.4</v>
      </c>
      <c r="G8" s="10"/>
    </row>
    <row r="9" spans="1:7">
      <c r="A9" s="4">
        <v>6</v>
      </c>
      <c r="B9" s="5" t="s">
        <v>8</v>
      </c>
      <c r="C9" s="6" t="str">
        <f>"2020010303"</f>
        <v>2020010303</v>
      </c>
      <c r="D9" s="7">
        <v>70.3</v>
      </c>
      <c r="E9" s="8">
        <v>80.5</v>
      </c>
      <c r="F9" s="9">
        <f t="shared" si="0"/>
        <v>150.80000000000001</v>
      </c>
      <c r="G9" s="10"/>
    </row>
    <row r="10" spans="1:7">
      <c r="A10" s="4">
        <v>7</v>
      </c>
      <c r="B10" s="5" t="s">
        <v>9</v>
      </c>
      <c r="C10" s="6" t="str">
        <f>"2020043825"</f>
        <v>2020043825</v>
      </c>
      <c r="D10" s="7">
        <v>77.099999999999994</v>
      </c>
      <c r="E10" s="8">
        <v>89</v>
      </c>
      <c r="F10" s="9">
        <f t="shared" si="0"/>
        <v>166.1</v>
      </c>
      <c r="G10" s="10"/>
    </row>
    <row r="11" spans="1:7">
      <c r="A11" s="4">
        <v>8</v>
      </c>
      <c r="B11" s="5" t="s">
        <v>9</v>
      </c>
      <c r="C11" s="6" t="str">
        <f>"2020013115"</f>
        <v>2020013115</v>
      </c>
      <c r="D11" s="7">
        <v>73.099999999999994</v>
      </c>
      <c r="E11" s="8">
        <v>92</v>
      </c>
      <c r="F11" s="9">
        <f t="shared" si="0"/>
        <v>165.1</v>
      </c>
      <c r="G11" s="10"/>
    </row>
    <row r="12" spans="1:7">
      <c r="A12" s="4">
        <v>9</v>
      </c>
      <c r="B12" s="5" t="s">
        <v>9</v>
      </c>
      <c r="C12" s="6" t="str">
        <f>"2020043314"</f>
        <v>2020043314</v>
      </c>
      <c r="D12" s="7">
        <v>74.400000000000006</v>
      </c>
      <c r="E12" s="8">
        <v>87</v>
      </c>
      <c r="F12" s="9">
        <f t="shared" si="0"/>
        <v>161.4</v>
      </c>
      <c r="G12" s="10"/>
    </row>
    <row r="13" spans="1:7">
      <c r="A13" s="4">
        <v>10</v>
      </c>
      <c r="B13" s="5" t="s">
        <v>10</v>
      </c>
      <c r="C13" s="6" t="str">
        <f>"2020047207"</f>
        <v>2020047207</v>
      </c>
      <c r="D13" s="7">
        <v>69.8</v>
      </c>
      <c r="E13" s="8">
        <v>86</v>
      </c>
      <c r="F13" s="9">
        <f t="shared" si="0"/>
        <v>155.80000000000001</v>
      </c>
      <c r="G13" s="10"/>
    </row>
    <row r="14" spans="1:7">
      <c r="A14" s="4">
        <v>11</v>
      </c>
      <c r="B14" s="5" t="s">
        <v>10</v>
      </c>
      <c r="C14" s="6" t="str">
        <f>"2020030924"</f>
        <v>2020030924</v>
      </c>
      <c r="D14" s="7">
        <v>75.599999999999994</v>
      </c>
      <c r="E14" s="8">
        <v>79.5</v>
      </c>
      <c r="F14" s="9">
        <f t="shared" si="0"/>
        <v>155.1</v>
      </c>
      <c r="G14" s="10"/>
    </row>
    <row r="15" spans="1:7">
      <c r="A15" s="4">
        <v>12</v>
      </c>
      <c r="B15" s="5" t="s">
        <v>10</v>
      </c>
      <c r="C15" s="6" t="str">
        <f>"2020020124"</f>
        <v>2020020124</v>
      </c>
      <c r="D15" s="7">
        <v>78.900000000000006</v>
      </c>
      <c r="E15" s="8">
        <v>75.5</v>
      </c>
      <c r="F15" s="9">
        <f t="shared" si="0"/>
        <v>154.4</v>
      </c>
      <c r="G15" s="10"/>
    </row>
    <row r="16" spans="1:7">
      <c r="A16" s="4">
        <v>13</v>
      </c>
      <c r="B16" s="5" t="s">
        <v>11</v>
      </c>
      <c r="C16" s="6" t="str">
        <f>"2020012911"</f>
        <v>2020012911</v>
      </c>
      <c r="D16" s="7">
        <v>80.2</v>
      </c>
      <c r="E16" s="8">
        <v>75.5</v>
      </c>
      <c r="F16" s="9">
        <f t="shared" si="0"/>
        <v>155.69999999999999</v>
      </c>
      <c r="G16" s="10"/>
    </row>
    <row r="17" spans="1:7">
      <c r="A17" s="4">
        <v>14</v>
      </c>
      <c r="B17" s="5" t="s">
        <v>11</v>
      </c>
      <c r="C17" s="6" t="str">
        <f>"2020024818"</f>
        <v>2020024818</v>
      </c>
      <c r="D17" s="7">
        <v>78.099999999999994</v>
      </c>
      <c r="E17" s="8">
        <v>76</v>
      </c>
      <c r="F17" s="9">
        <f t="shared" si="0"/>
        <v>154.1</v>
      </c>
      <c r="G17" s="10"/>
    </row>
    <row r="18" spans="1:7">
      <c r="A18" s="4">
        <v>15</v>
      </c>
      <c r="B18" s="5" t="s">
        <v>11</v>
      </c>
      <c r="C18" s="6" t="str">
        <f>"2020020213"</f>
        <v>2020020213</v>
      </c>
      <c r="D18" s="7">
        <v>70.7</v>
      </c>
      <c r="E18" s="8">
        <v>83</v>
      </c>
      <c r="F18" s="9">
        <f t="shared" si="0"/>
        <v>153.69999999999999</v>
      </c>
      <c r="G18" s="10"/>
    </row>
    <row r="19" spans="1:7">
      <c r="A19" s="4">
        <v>16</v>
      </c>
      <c r="B19" s="5" t="s">
        <v>11</v>
      </c>
      <c r="C19" s="6" t="str">
        <f>"2020033408"</f>
        <v>2020033408</v>
      </c>
      <c r="D19" s="7">
        <v>68.7</v>
      </c>
      <c r="E19" s="8">
        <v>82</v>
      </c>
      <c r="F19" s="9">
        <f t="shared" si="0"/>
        <v>150.69999999999999</v>
      </c>
      <c r="G19" s="10"/>
    </row>
    <row r="20" spans="1:7">
      <c r="A20" s="4">
        <v>17</v>
      </c>
      <c r="B20" s="5" t="s">
        <v>11</v>
      </c>
      <c r="C20" s="6" t="str">
        <f>"2020041604"</f>
        <v>2020041604</v>
      </c>
      <c r="D20" s="7">
        <v>74.099999999999994</v>
      </c>
      <c r="E20" s="8">
        <v>76.5</v>
      </c>
      <c r="F20" s="9">
        <f t="shared" si="0"/>
        <v>150.6</v>
      </c>
      <c r="G20" s="10"/>
    </row>
    <row r="21" spans="1:7">
      <c r="A21" s="4">
        <v>18</v>
      </c>
      <c r="B21" s="5" t="s">
        <v>11</v>
      </c>
      <c r="C21" s="6" t="str">
        <f>"2020033209"</f>
        <v>2020033209</v>
      </c>
      <c r="D21" s="7">
        <v>82</v>
      </c>
      <c r="E21" s="8">
        <v>68</v>
      </c>
      <c r="F21" s="9">
        <f t="shared" si="0"/>
        <v>150</v>
      </c>
      <c r="G21" s="10"/>
    </row>
    <row r="22" spans="1:7">
      <c r="A22" s="4">
        <v>19</v>
      </c>
      <c r="B22" s="5" t="s">
        <v>12</v>
      </c>
      <c r="C22" s="6" t="str">
        <f>"2020045904"</f>
        <v>2020045904</v>
      </c>
      <c r="D22" s="7">
        <v>74.2</v>
      </c>
      <c r="E22" s="8">
        <v>85</v>
      </c>
      <c r="F22" s="9">
        <f t="shared" si="0"/>
        <v>159.19999999999999</v>
      </c>
      <c r="G22" s="10"/>
    </row>
    <row r="23" spans="1:7">
      <c r="A23" s="4">
        <v>20</v>
      </c>
      <c r="B23" s="5" t="s">
        <v>12</v>
      </c>
      <c r="C23" s="6" t="str">
        <f>"2020044611"</f>
        <v>2020044611</v>
      </c>
      <c r="D23" s="7">
        <v>68.900000000000006</v>
      </c>
      <c r="E23" s="8">
        <v>82</v>
      </c>
      <c r="F23" s="9">
        <f t="shared" si="0"/>
        <v>150.9</v>
      </c>
      <c r="G23" s="10"/>
    </row>
    <row r="24" spans="1:7">
      <c r="A24" s="4">
        <v>21</v>
      </c>
      <c r="B24" s="5" t="s">
        <v>12</v>
      </c>
      <c r="C24" s="6" t="str">
        <f>"2020043530"</f>
        <v>2020043530</v>
      </c>
      <c r="D24" s="7">
        <v>69.599999999999994</v>
      </c>
      <c r="E24" s="8">
        <v>78</v>
      </c>
      <c r="F24" s="9">
        <f t="shared" si="0"/>
        <v>147.6</v>
      </c>
      <c r="G24" s="10"/>
    </row>
    <row r="25" spans="1:7">
      <c r="A25" s="4">
        <v>22</v>
      </c>
      <c r="B25" s="5" t="s">
        <v>13</v>
      </c>
      <c r="C25" s="6" t="str">
        <f>"2020023724"</f>
        <v>2020023724</v>
      </c>
      <c r="D25" s="7">
        <v>79.900000000000006</v>
      </c>
      <c r="E25" s="8">
        <v>88</v>
      </c>
      <c r="F25" s="9">
        <f t="shared" si="0"/>
        <v>167.9</v>
      </c>
      <c r="G25" s="10"/>
    </row>
    <row r="26" spans="1:7">
      <c r="A26" s="4">
        <v>23</v>
      </c>
      <c r="B26" s="5" t="s">
        <v>13</v>
      </c>
      <c r="C26" s="6" t="str">
        <f>"2020020809"</f>
        <v>2020020809</v>
      </c>
      <c r="D26" s="7">
        <v>76</v>
      </c>
      <c r="E26" s="8">
        <v>79.5</v>
      </c>
      <c r="F26" s="9">
        <f t="shared" si="0"/>
        <v>155.5</v>
      </c>
      <c r="G26" s="10"/>
    </row>
    <row r="27" spans="1:7">
      <c r="A27" s="4">
        <v>24</v>
      </c>
      <c r="B27" s="5" t="s">
        <v>13</v>
      </c>
      <c r="C27" s="6" t="str">
        <f>"2020011130"</f>
        <v>2020011130</v>
      </c>
      <c r="D27" s="7">
        <v>75.599999999999994</v>
      </c>
      <c r="E27" s="8">
        <v>71.5</v>
      </c>
      <c r="F27" s="9">
        <f t="shared" si="0"/>
        <v>147.1</v>
      </c>
      <c r="G27" s="10"/>
    </row>
    <row r="28" spans="1:7">
      <c r="A28" s="4">
        <v>25</v>
      </c>
      <c r="B28" s="5" t="s">
        <v>14</v>
      </c>
      <c r="C28" s="6" t="str">
        <f>"2020044005"</f>
        <v>2020044005</v>
      </c>
      <c r="D28" s="7">
        <v>77.099999999999994</v>
      </c>
      <c r="E28" s="8">
        <v>84.5</v>
      </c>
      <c r="F28" s="9">
        <f t="shared" si="0"/>
        <v>161.6</v>
      </c>
      <c r="G28" s="10"/>
    </row>
    <row r="29" spans="1:7">
      <c r="A29" s="4">
        <v>26</v>
      </c>
      <c r="B29" s="5" t="s">
        <v>14</v>
      </c>
      <c r="C29" s="6" t="str">
        <f>"2020032407"</f>
        <v>2020032407</v>
      </c>
      <c r="D29" s="7">
        <v>80.7</v>
      </c>
      <c r="E29" s="8">
        <v>74.5</v>
      </c>
      <c r="F29" s="9">
        <f t="shared" si="0"/>
        <v>155.19999999999999</v>
      </c>
      <c r="G29" s="10"/>
    </row>
    <row r="30" spans="1:7">
      <c r="A30" s="4">
        <v>27</v>
      </c>
      <c r="B30" s="5" t="s">
        <v>14</v>
      </c>
      <c r="C30" s="6" t="str">
        <f>"2020031327"</f>
        <v>2020031327</v>
      </c>
      <c r="D30" s="7">
        <v>76.8</v>
      </c>
      <c r="E30" s="8">
        <v>75.5</v>
      </c>
      <c r="F30" s="9">
        <f t="shared" si="0"/>
        <v>152.30000000000001</v>
      </c>
      <c r="G30" s="10"/>
    </row>
    <row r="31" spans="1:7">
      <c r="A31" s="4">
        <v>28</v>
      </c>
      <c r="B31" s="5" t="s">
        <v>15</v>
      </c>
      <c r="C31" s="6" t="str">
        <f>"2020044215"</f>
        <v>2020044215</v>
      </c>
      <c r="D31" s="7">
        <v>70.3</v>
      </c>
      <c r="E31" s="8">
        <v>77.5</v>
      </c>
      <c r="F31" s="9">
        <f t="shared" si="0"/>
        <v>147.80000000000001</v>
      </c>
      <c r="G31" s="10"/>
    </row>
    <row r="32" spans="1:7">
      <c r="A32" s="4">
        <v>29</v>
      </c>
      <c r="B32" s="5" t="s">
        <v>15</v>
      </c>
      <c r="C32" s="6" t="str">
        <f>"2020024025"</f>
        <v>2020024025</v>
      </c>
      <c r="D32" s="7">
        <v>69.7</v>
      </c>
      <c r="E32" s="8">
        <v>73</v>
      </c>
      <c r="F32" s="9">
        <f t="shared" si="0"/>
        <v>142.69999999999999</v>
      </c>
      <c r="G32" s="10"/>
    </row>
    <row r="33" spans="1:7">
      <c r="A33" s="4">
        <v>30</v>
      </c>
      <c r="B33" s="5" t="s">
        <v>15</v>
      </c>
      <c r="C33" s="6" t="str">
        <f>"2020046827"</f>
        <v>2020046827</v>
      </c>
      <c r="D33" s="7">
        <v>67.2</v>
      </c>
      <c r="E33" s="8">
        <v>71</v>
      </c>
      <c r="F33" s="9">
        <f t="shared" si="0"/>
        <v>138.19999999999999</v>
      </c>
      <c r="G33" s="10"/>
    </row>
    <row r="34" spans="1:7">
      <c r="A34" s="4">
        <v>31</v>
      </c>
      <c r="B34" s="5" t="s">
        <v>15</v>
      </c>
      <c r="C34" s="6" t="str">
        <f>"2020031529"</f>
        <v>2020031529</v>
      </c>
      <c r="D34" s="7">
        <v>67.599999999999994</v>
      </c>
      <c r="E34" s="8">
        <v>68.5</v>
      </c>
      <c r="F34" s="9">
        <f t="shared" si="0"/>
        <v>136.1</v>
      </c>
      <c r="G34" s="10"/>
    </row>
    <row r="35" spans="1:7">
      <c r="A35" s="4">
        <v>32</v>
      </c>
      <c r="B35" s="5" t="s">
        <v>15</v>
      </c>
      <c r="C35" s="6" t="str">
        <f>"2020046826"</f>
        <v>2020046826</v>
      </c>
      <c r="D35" s="7">
        <v>75.400000000000006</v>
      </c>
      <c r="E35" s="8">
        <v>60.5</v>
      </c>
      <c r="F35" s="9">
        <f t="shared" si="0"/>
        <v>135.9</v>
      </c>
      <c r="G35" s="10"/>
    </row>
    <row r="36" spans="1:7">
      <c r="A36" s="4">
        <v>33</v>
      </c>
      <c r="B36" s="5" t="s">
        <v>15</v>
      </c>
      <c r="C36" s="6" t="str">
        <f>"2020042527"</f>
        <v>2020042527</v>
      </c>
      <c r="D36" s="7">
        <v>65.400000000000006</v>
      </c>
      <c r="E36" s="8">
        <v>69</v>
      </c>
      <c r="F36" s="9">
        <f t="shared" si="0"/>
        <v>134.4</v>
      </c>
      <c r="G36" s="10"/>
    </row>
    <row r="37" spans="1:7">
      <c r="A37" s="4">
        <v>34</v>
      </c>
      <c r="B37" s="5" t="s">
        <v>16</v>
      </c>
      <c r="C37" s="6" t="str">
        <f>"2020046602"</f>
        <v>2020046602</v>
      </c>
      <c r="D37" s="7">
        <v>76.3</v>
      </c>
      <c r="E37" s="8">
        <v>67.5</v>
      </c>
      <c r="F37" s="9">
        <f t="shared" si="0"/>
        <v>143.80000000000001</v>
      </c>
      <c r="G37" s="10"/>
    </row>
    <row r="38" spans="1:7">
      <c r="A38" s="4">
        <v>35</v>
      </c>
      <c r="B38" s="5" t="s">
        <v>16</v>
      </c>
      <c r="C38" s="6" t="str">
        <f>"2020013513"</f>
        <v>2020013513</v>
      </c>
      <c r="D38" s="7">
        <v>66.8</v>
      </c>
      <c r="E38" s="8">
        <v>75.5</v>
      </c>
      <c r="F38" s="9">
        <f t="shared" si="0"/>
        <v>142.30000000000001</v>
      </c>
      <c r="G38" s="10"/>
    </row>
    <row r="39" spans="1:7">
      <c r="A39" s="4">
        <v>36</v>
      </c>
      <c r="B39" s="5" t="s">
        <v>16</v>
      </c>
      <c r="C39" s="6" t="str">
        <f>"2020010928"</f>
        <v>2020010928</v>
      </c>
      <c r="D39" s="7">
        <v>71.3</v>
      </c>
      <c r="E39" s="8">
        <v>62</v>
      </c>
      <c r="F39" s="9">
        <f t="shared" si="0"/>
        <v>133.30000000000001</v>
      </c>
      <c r="G39" s="10"/>
    </row>
    <row r="40" spans="1:7">
      <c r="A40" s="4">
        <v>37</v>
      </c>
      <c r="B40" s="5" t="s">
        <v>16</v>
      </c>
      <c r="C40" s="6" t="str">
        <f>"2020030323"</f>
        <v>2020030323</v>
      </c>
      <c r="D40" s="7">
        <v>65.5</v>
      </c>
      <c r="E40" s="8">
        <v>64</v>
      </c>
      <c r="F40" s="9">
        <f t="shared" si="0"/>
        <v>129.5</v>
      </c>
      <c r="G40" s="10"/>
    </row>
    <row r="41" spans="1:7">
      <c r="A41" s="4">
        <v>38</v>
      </c>
      <c r="B41" s="5" t="s">
        <v>16</v>
      </c>
      <c r="C41" s="6" t="str">
        <f>"2020021802"</f>
        <v>2020021802</v>
      </c>
      <c r="D41" s="7">
        <v>60.9</v>
      </c>
      <c r="E41" s="8">
        <v>68.5</v>
      </c>
      <c r="F41" s="9">
        <f t="shared" si="0"/>
        <v>129.4</v>
      </c>
      <c r="G41" s="10"/>
    </row>
    <row r="42" spans="1:7">
      <c r="A42" s="4">
        <v>39</v>
      </c>
      <c r="B42" s="5" t="s">
        <v>16</v>
      </c>
      <c r="C42" s="6" t="str">
        <f>"2020022811"</f>
        <v>2020022811</v>
      </c>
      <c r="D42" s="7">
        <v>66.3</v>
      </c>
      <c r="E42" s="8">
        <v>62.5</v>
      </c>
      <c r="F42" s="9">
        <f t="shared" si="0"/>
        <v>128.80000000000001</v>
      </c>
      <c r="G42" s="10"/>
    </row>
    <row r="43" spans="1:7">
      <c r="A43" s="4">
        <v>40</v>
      </c>
      <c r="B43" s="5" t="s">
        <v>17</v>
      </c>
      <c r="C43" s="6" t="str">
        <f>"2020047512"</f>
        <v>2020047512</v>
      </c>
      <c r="D43" s="7">
        <v>77.7</v>
      </c>
      <c r="E43" s="8">
        <v>68.5</v>
      </c>
      <c r="F43" s="9">
        <f t="shared" si="0"/>
        <v>146.19999999999999</v>
      </c>
      <c r="G43" s="10"/>
    </row>
    <row r="44" spans="1:7">
      <c r="A44" s="4">
        <v>41</v>
      </c>
      <c r="B44" s="5" t="s">
        <v>17</v>
      </c>
      <c r="C44" s="6" t="str">
        <f>"2020043028"</f>
        <v>2020043028</v>
      </c>
      <c r="D44" s="7">
        <v>64.099999999999994</v>
      </c>
      <c r="E44" s="8">
        <v>67</v>
      </c>
      <c r="F44" s="9">
        <f t="shared" si="0"/>
        <v>131.1</v>
      </c>
      <c r="G44" s="10"/>
    </row>
    <row r="45" spans="1:7">
      <c r="A45" s="4">
        <v>42</v>
      </c>
      <c r="B45" s="5" t="s">
        <v>17</v>
      </c>
      <c r="C45" s="6" t="str">
        <f>"2020047615"</f>
        <v>2020047615</v>
      </c>
      <c r="D45" s="7">
        <v>56.1</v>
      </c>
      <c r="E45" s="8">
        <v>55.5</v>
      </c>
      <c r="F45" s="9">
        <f t="shared" si="0"/>
        <v>111.6</v>
      </c>
      <c r="G45" s="10"/>
    </row>
    <row r="46" spans="1:7">
      <c r="A46" s="4">
        <v>43</v>
      </c>
      <c r="B46" s="5" t="s">
        <v>18</v>
      </c>
      <c r="C46" s="6" t="str">
        <f>"2020047524"</f>
        <v>2020047524</v>
      </c>
      <c r="D46" s="7">
        <v>83.8</v>
      </c>
      <c r="E46" s="8">
        <v>83</v>
      </c>
      <c r="F46" s="9">
        <f t="shared" si="0"/>
        <v>166.8</v>
      </c>
      <c r="G46" s="10"/>
    </row>
    <row r="47" spans="1:7">
      <c r="A47" s="4">
        <v>44</v>
      </c>
      <c r="B47" s="5" t="s">
        <v>18</v>
      </c>
      <c r="C47" s="6" t="str">
        <f>"2020044225"</f>
        <v>2020044225</v>
      </c>
      <c r="D47" s="7">
        <v>73.2</v>
      </c>
      <c r="E47" s="8">
        <v>75.5</v>
      </c>
      <c r="F47" s="9">
        <f t="shared" si="0"/>
        <v>148.69999999999999</v>
      </c>
      <c r="G47" s="10"/>
    </row>
    <row r="48" spans="1:7">
      <c r="A48" s="4">
        <v>45</v>
      </c>
      <c r="B48" s="5" t="s">
        <v>18</v>
      </c>
      <c r="C48" s="6" t="str">
        <f>"2020033710"</f>
        <v>2020033710</v>
      </c>
      <c r="D48" s="7">
        <v>67</v>
      </c>
      <c r="E48" s="8">
        <v>78.5</v>
      </c>
      <c r="F48" s="9">
        <f t="shared" si="0"/>
        <v>145.5</v>
      </c>
      <c r="G48" s="10"/>
    </row>
    <row r="49" spans="1:7">
      <c r="A49" s="4">
        <v>46</v>
      </c>
      <c r="B49" s="5" t="s">
        <v>19</v>
      </c>
      <c r="C49" s="6" t="str">
        <f>"2020032509"</f>
        <v>2020032509</v>
      </c>
      <c r="D49" s="7">
        <v>62.7</v>
      </c>
      <c r="E49" s="8">
        <v>66</v>
      </c>
      <c r="F49" s="9">
        <f t="shared" si="0"/>
        <v>128.69999999999999</v>
      </c>
      <c r="G49" s="10"/>
    </row>
    <row r="50" spans="1:7">
      <c r="A50" s="4">
        <v>47</v>
      </c>
      <c r="B50" s="5" t="s">
        <v>19</v>
      </c>
      <c r="C50" s="6" t="str">
        <f>"2020030112"</f>
        <v>2020030112</v>
      </c>
      <c r="D50" s="7">
        <v>63.8</v>
      </c>
      <c r="E50" s="8">
        <v>64</v>
      </c>
      <c r="F50" s="9">
        <f t="shared" si="0"/>
        <v>127.8</v>
      </c>
      <c r="G50" s="10"/>
    </row>
    <row r="51" spans="1:7">
      <c r="A51" s="4">
        <v>48</v>
      </c>
      <c r="B51" s="5" t="s">
        <v>19</v>
      </c>
      <c r="C51" s="6" t="str">
        <f>"2020012719"</f>
        <v>2020012719</v>
      </c>
      <c r="D51" s="7">
        <v>69.099999999999994</v>
      </c>
      <c r="E51" s="8">
        <v>54</v>
      </c>
      <c r="F51" s="9">
        <f t="shared" si="0"/>
        <v>123.1</v>
      </c>
      <c r="G51" s="10"/>
    </row>
    <row r="52" spans="1:7">
      <c r="A52" s="4">
        <v>49</v>
      </c>
      <c r="B52" s="5" t="s">
        <v>19</v>
      </c>
      <c r="C52" s="6" t="str">
        <f>"2020010105"</f>
        <v>2020010105</v>
      </c>
      <c r="D52" s="7">
        <v>63.9</v>
      </c>
      <c r="E52" s="8">
        <v>58.5</v>
      </c>
      <c r="F52" s="9">
        <f t="shared" si="0"/>
        <v>122.4</v>
      </c>
      <c r="G52" s="10"/>
    </row>
    <row r="53" spans="1:7">
      <c r="A53" s="4">
        <v>50</v>
      </c>
      <c r="B53" s="5" t="s">
        <v>19</v>
      </c>
      <c r="C53" s="6" t="str">
        <f>"2020020405"</f>
        <v>2020020405</v>
      </c>
      <c r="D53" s="7">
        <v>61.1</v>
      </c>
      <c r="E53" s="8">
        <v>59</v>
      </c>
      <c r="F53" s="9">
        <f t="shared" si="0"/>
        <v>120.1</v>
      </c>
      <c r="G53" s="10"/>
    </row>
    <row r="54" spans="1:7">
      <c r="A54" s="4">
        <v>51</v>
      </c>
      <c r="B54" s="5" t="s">
        <v>19</v>
      </c>
      <c r="C54" s="6" t="str">
        <f>"2020024624"</f>
        <v>2020024624</v>
      </c>
      <c r="D54" s="7">
        <v>59.6</v>
      </c>
      <c r="E54" s="8">
        <v>60.5</v>
      </c>
      <c r="F54" s="9">
        <f t="shared" si="0"/>
        <v>120.1</v>
      </c>
      <c r="G54" s="10"/>
    </row>
    <row r="55" spans="1:7">
      <c r="A55" s="4">
        <v>52</v>
      </c>
      <c r="B55" s="5" t="s">
        <v>20</v>
      </c>
      <c r="C55" s="6" t="str">
        <f>"2020042015"</f>
        <v>2020042015</v>
      </c>
      <c r="D55" s="7">
        <v>63.5</v>
      </c>
      <c r="E55" s="8">
        <v>67.5</v>
      </c>
      <c r="F55" s="9">
        <f t="shared" si="0"/>
        <v>131</v>
      </c>
      <c r="G55" s="10"/>
    </row>
    <row r="56" spans="1:7">
      <c r="A56" s="4">
        <v>53</v>
      </c>
      <c r="B56" s="5" t="s">
        <v>20</v>
      </c>
      <c r="C56" s="6" t="str">
        <f>"2020022125"</f>
        <v>2020022125</v>
      </c>
      <c r="D56" s="7">
        <v>70.8</v>
      </c>
      <c r="E56" s="8">
        <v>52.5</v>
      </c>
      <c r="F56" s="9">
        <f t="shared" si="0"/>
        <v>123.3</v>
      </c>
      <c r="G56" s="10"/>
    </row>
    <row r="57" spans="1:7">
      <c r="A57" s="4">
        <v>54</v>
      </c>
      <c r="B57" s="5" t="s">
        <v>20</v>
      </c>
      <c r="C57" s="6" t="str">
        <f>"2020042010"</f>
        <v>2020042010</v>
      </c>
      <c r="D57" s="7">
        <v>59.5</v>
      </c>
      <c r="E57" s="8">
        <v>57.5</v>
      </c>
      <c r="F57" s="9">
        <f t="shared" si="0"/>
        <v>117</v>
      </c>
      <c r="G57" s="10"/>
    </row>
    <row r="58" spans="1:7">
      <c r="A58" s="4">
        <v>55</v>
      </c>
      <c r="B58" s="5" t="s">
        <v>21</v>
      </c>
      <c r="C58" s="6" t="str">
        <f>"2020013306"</f>
        <v>2020013306</v>
      </c>
      <c r="D58" s="7">
        <v>73.3</v>
      </c>
      <c r="E58" s="8">
        <v>68</v>
      </c>
      <c r="F58" s="9">
        <f t="shared" si="0"/>
        <v>141.30000000000001</v>
      </c>
      <c r="G58" s="10"/>
    </row>
    <row r="59" spans="1:7">
      <c r="A59" s="4">
        <v>56</v>
      </c>
      <c r="B59" s="5" t="s">
        <v>21</v>
      </c>
      <c r="C59" s="6" t="str">
        <f>"2020045624"</f>
        <v>2020045624</v>
      </c>
      <c r="D59" s="7">
        <v>71.900000000000006</v>
      </c>
      <c r="E59" s="8">
        <v>68.5</v>
      </c>
      <c r="F59" s="9">
        <f t="shared" si="0"/>
        <v>140.4</v>
      </c>
      <c r="G59" s="10"/>
    </row>
    <row r="60" spans="1:7">
      <c r="A60" s="4">
        <v>57</v>
      </c>
      <c r="B60" s="5" t="s">
        <v>21</v>
      </c>
      <c r="C60" s="6" t="str">
        <f>"2020010817"</f>
        <v>2020010817</v>
      </c>
      <c r="D60" s="7">
        <v>70.7</v>
      </c>
      <c r="E60" s="8">
        <v>68.5</v>
      </c>
      <c r="F60" s="9">
        <f t="shared" si="0"/>
        <v>139.19999999999999</v>
      </c>
      <c r="G60" s="10"/>
    </row>
    <row r="61" spans="1:7">
      <c r="A61" s="4">
        <v>58</v>
      </c>
      <c r="B61" s="5" t="s">
        <v>22</v>
      </c>
      <c r="C61" s="6" t="str">
        <f>"2020042908"</f>
        <v>2020042908</v>
      </c>
      <c r="D61" s="7">
        <v>73.3</v>
      </c>
      <c r="E61" s="8">
        <v>75.5</v>
      </c>
      <c r="F61" s="9">
        <f t="shared" si="0"/>
        <v>148.80000000000001</v>
      </c>
      <c r="G61" s="10"/>
    </row>
    <row r="62" spans="1:7">
      <c r="A62" s="4">
        <v>59</v>
      </c>
      <c r="B62" s="5" t="s">
        <v>22</v>
      </c>
      <c r="C62" s="6" t="str">
        <f>"2020022202"</f>
        <v>2020022202</v>
      </c>
      <c r="D62" s="7">
        <v>66.599999999999994</v>
      </c>
      <c r="E62" s="8">
        <v>77</v>
      </c>
      <c r="F62" s="9">
        <f t="shared" si="0"/>
        <v>143.6</v>
      </c>
      <c r="G62" s="10"/>
    </row>
    <row r="63" spans="1:7">
      <c r="A63" s="4">
        <v>60</v>
      </c>
      <c r="B63" s="5" t="s">
        <v>22</v>
      </c>
      <c r="C63" s="6" t="str">
        <f>"2020040112"</f>
        <v>2020040112</v>
      </c>
      <c r="D63" s="7">
        <v>71.7</v>
      </c>
      <c r="E63" s="8">
        <v>69</v>
      </c>
      <c r="F63" s="9">
        <f t="shared" si="0"/>
        <v>140.69999999999999</v>
      </c>
      <c r="G63" s="10"/>
    </row>
    <row r="64" spans="1:7">
      <c r="A64" s="4">
        <v>61</v>
      </c>
      <c r="B64" s="5" t="s">
        <v>23</v>
      </c>
      <c r="C64" s="6" t="str">
        <f>"2020045829"</f>
        <v>2020045829</v>
      </c>
      <c r="D64" s="7">
        <v>73.099999999999994</v>
      </c>
      <c r="E64" s="8">
        <v>67.5</v>
      </c>
      <c r="F64" s="9">
        <f t="shared" si="0"/>
        <v>140.6</v>
      </c>
      <c r="G64" s="10"/>
    </row>
    <row r="65" spans="1:7">
      <c r="A65" s="4">
        <v>62</v>
      </c>
      <c r="B65" s="5" t="s">
        <v>23</v>
      </c>
      <c r="C65" s="6" t="str">
        <f>"2020021228"</f>
        <v>2020021228</v>
      </c>
      <c r="D65" s="7">
        <v>68.3</v>
      </c>
      <c r="E65" s="8">
        <v>67.5</v>
      </c>
      <c r="F65" s="9">
        <f t="shared" si="0"/>
        <v>135.80000000000001</v>
      </c>
      <c r="G65" s="10"/>
    </row>
    <row r="66" spans="1:7">
      <c r="A66" s="4">
        <v>63</v>
      </c>
      <c r="B66" s="5" t="s">
        <v>23</v>
      </c>
      <c r="C66" s="6" t="str">
        <f>"2020031709"</f>
        <v>2020031709</v>
      </c>
      <c r="D66" s="7">
        <v>60.6</v>
      </c>
      <c r="E66" s="8">
        <v>73</v>
      </c>
      <c r="F66" s="9">
        <f t="shared" si="0"/>
        <v>133.6</v>
      </c>
      <c r="G66" s="10"/>
    </row>
    <row r="67" spans="1:7">
      <c r="A67" s="4">
        <v>64</v>
      </c>
      <c r="B67" s="5" t="s">
        <v>24</v>
      </c>
      <c r="C67" s="6" t="str">
        <f>"2020033413"</f>
        <v>2020033413</v>
      </c>
      <c r="D67" s="7">
        <v>73.5</v>
      </c>
      <c r="E67" s="8">
        <v>68.5</v>
      </c>
      <c r="F67" s="9">
        <f t="shared" si="0"/>
        <v>142</v>
      </c>
      <c r="G67" s="10"/>
    </row>
    <row r="68" spans="1:7">
      <c r="A68" s="4">
        <v>65</v>
      </c>
      <c r="B68" s="5" t="s">
        <v>24</v>
      </c>
      <c r="C68" s="6" t="str">
        <f>"2020031314"</f>
        <v>2020031314</v>
      </c>
      <c r="D68" s="7">
        <v>63.3</v>
      </c>
      <c r="E68" s="8">
        <v>76</v>
      </c>
      <c r="F68" s="9">
        <f t="shared" ref="F68:F131" si="1">SUM(D68:E68)</f>
        <v>139.30000000000001</v>
      </c>
      <c r="G68" s="10"/>
    </row>
    <row r="69" spans="1:7">
      <c r="A69" s="4">
        <v>66</v>
      </c>
      <c r="B69" s="5" t="s">
        <v>24</v>
      </c>
      <c r="C69" s="6" t="str">
        <f>"2020030822"</f>
        <v>2020030822</v>
      </c>
      <c r="D69" s="7">
        <v>64.599999999999994</v>
      </c>
      <c r="E69" s="8">
        <v>70</v>
      </c>
      <c r="F69" s="9">
        <f t="shared" si="1"/>
        <v>134.6</v>
      </c>
      <c r="G69" s="10"/>
    </row>
    <row r="70" spans="1:7">
      <c r="A70" s="4">
        <v>67</v>
      </c>
      <c r="B70" s="5" t="s">
        <v>24</v>
      </c>
      <c r="C70" s="6" t="str">
        <f>"2020045723"</f>
        <v>2020045723</v>
      </c>
      <c r="D70" s="7">
        <v>68</v>
      </c>
      <c r="E70" s="8">
        <v>65</v>
      </c>
      <c r="F70" s="9">
        <f t="shared" si="1"/>
        <v>133</v>
      </c>
      <c r="G70" s="10"/>
    </row>
    <row r="71" spans="1:7">
      <c r="A71" s="4">
        <v>68</v>
      </c>
      <c r="B71" s="5" t="s">
        <v>24</v>
      </c>
      <c r="C71" s="6" t="str">
        <f>"2020042807"</f>
        <v>2020042807</v>
      </c>
      <c r="D71" s="7">
        <v>67</v>
      </c>
      <c r="E71" s="8">
        <v>64.5</v>
      </c>
      <c r="F71" s="9">
        <f t="shared" si="1"/>
        <v>131.5</v>
      </c>
      <c r="G71" s="10"/>
    </row>
    <row r="72" spans="1:7">
      <c r="A72" s="4">
        <v>69</v>
      </c>
      <c r="B72" s="5" t="s">
        <v>24</v>
      </c>
      <c r="C72" s="6" t="str">
        <f>"2020040909"</f>
        <v>2020040909</v>
      </c>
      <c r="D72" s="7">
        <v>68.099999999999994</v>
      </c>
      <c r="E72" s="8">
        <v>60</v>
      </c>
      <c r="F72" s="9">
        <f t="shared" si="1"/>
        <v>128.1</v>
      </c>
      <c r="G72" s="10"/>
    </row>
    <row r="73" spans="1:7">
      <c r="A73" s="4">
        <v>70</v>
      </c>
      <c r="B73" s="5" t="s">
        <v>25</v>
      </c>
      <c r="C73" s="6" t="str">
        <f>"2020023013"</f>
        <v>2020023013</v>
      </c>
      <c r="D73" s="7">
        <v>73.5</v>
      </c>
      <c r="E73" s="8">
        <v>71</v>
      </c>
      <c r="F73" s="9">
        <f t="shared" si="1"/>
        <v>144.5</v>
      </c>
      <c r="G73" s="10"/>
    </row>
    <row r="74" spans="1:7">
      <c r="A74" s="4">
        <v>71</v>
      </c>
      <c r="B74" s="5" t="s">
        <v>25</v>
      </c>
      <c r="C74" s="6" t="str">
        <f>"2020013621"</f>
        <v>2020013621</v>
      </c>
      <c r="D74" s="7">
        <v>68.099999999999994</v>
      </c>
      <c r="E74" s="8">
        <v>75</v>
      </c>
      <c r="F74" s="9">
        <f t="shared" si="1"/>
        <v>143.1</v>
      </c>
      <c r="G74" s="10"/>
    </row>
    <row r="75" spans="1:7">
      <c r="A75" s="4">
        <v>72</v>
      </c>
      <c r="B75" s="5" t="s">
        <v>25</v>
      </c>
      <c r="C75" s="6" t="str">
        <f>"2020042311"</f>
        <v>2020042311</v>
      </c>
      <c r="D75" s="7">
        <v>73.2</v>
      </c>
      <c r="E75" s="8">
        <v>69.5</v>
      </c>
      <c r="F75" s="9">
        <f t="shared" si="1"/>
        <v>142.69999999999999</v>
      </c>
      <c r="G75" s="10"/>
    </row>
    <row r="76" spans="1:7">
      <c r="A76" s="4">
        <v>73</v>
      </c>
      <c r="B76" s="5" t="s">
        <v>25</v>
      </c>
      <c r="C76" s="6" t="str">
        <f>"2020021511"</f>
        <v>2020021511</v>
      </c>
      <c r="D76" s="7">
        <v>71.3</v>
      </c>
      <c r="E76" s="8">
        <v>69.5</v>
      </c>
      <c r="F76" s="9">
        <f t="shared" si="1"/>
        <v>140.80000000000001</v>
      </c>
      <c r="G76" s="10"/>
    </row>
    <row r="77" spans="1:7">
      <c r="A77" s="4">
        <v>74</v>
      </c>
      <c r="B77" s="5" t="s">
        <v>25</v>
      </c>
      <c r="C77" s="6" t="str">
        <f>"2020030120"</f>
        <v>2020030120</v>
      </c>
      <c r="D77" s="7">
        <v>76.5</v>
      </c>
      <c r="E77" s="8">
        <v>62.5</v>
      </c>
      <c r="F77" s="9">
        <f t="shared" si="1"/>
        <v>139</v>
      </c>
      <c r="G77" s="10"/>
    </row>
    <row r="78" spans="1:7">
      <c r="A78" s="4">
        <v>75</v>
      </c>
      <c r="B78" s="5" t="s">
        <v>25</v>
      </c>
      <c r="C78" s="6" t="str">
        <f>"2020031016"</f>
        <v>2020031016</v>
      </c>
      <c r="D78" s="7">
        <v>68.2</v>
      </c>
      <c r="E78" s="8">
        <v>69</v>
      </c>
      <c r="F78" s="9">
        <f t="shared" si="1"/>
        <v>137.19999999999999</v>
      </c>
      <c r="G78" s="10"/>
    </row>
    <row r="79" spans="1:7">
      <c r="A79" s="4">
        <v>76</v>
      </c>
      <c r="B79" s="5" t="s">
        <v>25</v>
      </c>
      <c r="C79" s="6" t="str">
        <f>"2020044209"</f>
        <v>2020044209</v>
      </c>
      <c r="D79" s="7">
        <v>74.3</v>
      </c>
      <c r="E79" s="8">
        <v>61</v>
      </c>
      <c r="F79" s="9">
        <f t="shared" si="1"/>
        <v>135.30000000000001</v>
      </c>
      <c r="G79" s="10"/>
    </row>
    <row r="80" spans="1:7">
      <c r="A80" s="4">
        <v>77</v>
      </c>
      <c r="B80" s="5" t="s">
        <v>25</v>
      </c>
      <c r="C80" s="6" t="str">
        <f>"2020021505"</f>
        <v>2020021505</v>
      </c>
      <c r="D80" s="7">
        <v>70.5</v>
      </c>
      <c r="E80" s="8">
        <v>64.5</v>
      </c>
      <c r="F80" s="9">
        <f t="shared" si="1"/>
        <v>135</v>
      </c>
      <c r="G80" s="10"/>
    </row>
    <row r="81" spans="1:7">
      <c r="A81" s="4">
        <v>78</v>
      </c>
      <c r="B81" s="5" t="s">
        <v>25</v>
      </c>
      <c r="C81" s="6" t="str">
        <f>"2020046127"</f>
        <v>2020046127</v>
      </c>
      <c r="D81" s="7">
        <v>69.8</v>
      </c>
      <c r="E81" s="8">
        <v>63</v>
      </c>
      <c r="F81" s="9">
        <f t="shared" si="1"/>
        <v>132.80000000000001</v>
      </c>
      <c r="G81" s="10"/>
    </row>
    <row r="82" spans="1:7">
      <c r="A82" s="4">
        <v>79</v>
      </c>
      <c r="B82" s="5" t="s">
        <v>26</v>
      </c>
      <c r="C82" s="6" t="str">
        <f>"2020020125"</f>
        <v>2020020125</v>
      </c>
      <c r="D82" s="7">
        <v>76.3</v>
      </c>
      <c r="E82" s="8">
        <v>83</v>
      </c>
      <c r="F82" s="9">
        <f t="shared" si="1"/>
        <v>159.30000000000001</v>
      </c>
      <c r="G82" s="10"/>
    </row>
    <row r="83" spans="1:7">
      <c r="A83" s="4">
        <v>80</v>
      </c>
      <c r="B83" s="5" t="s">
        <v>26</v>
      </c>
      <c r="C83" s="6" t="str">
        <f>"2020013515"</f>
        <v>2020013515</v>
      </c>
      <c r="D83" s="7">
        <v>65</v>
      </c>
      <c r="E83" s="8">
        <v>71</v>
      </c>
      <c r="F83" s="9">
        <f t="shared" si="1"/>
        <v>136</v>
      </c>
      <c r="G83" s="10"/>
    </row>
    <row r="84" spans="1:7">
      <c r="A84" s="4">
        <v>81</v>
      </c>
      <c r="B84" s="5" t="s">
        <v>26</v>
      </c>
      <c r="C84" s="6" t="str">
        <f>"2020043525"</f>
        <v>2020043525</v>
      </c>
      <c r="D84" s="7">
        <v>61.4</v>
      </c>
      <c r="E84" s="8">
        <v>64</v>
      </c>
      <c r="F84" s="9">
        <f t="shared" si="1"/>
        <v>125.4</v>
      </c>
      <c r="G84" s="10"/>
    </row>
    <row r="85" spans="1:7">
      <c r="A85" s="4">
        <v>82</v>
      </c>
      <c r="B85" s="5" t="s">
        <v>27</v>
      </c>
      <c r="C85" s="6" t="str">
        <f>"2020033707"</f>
        <v>2020033707</v>
      </c>
      <c r="D85" s="7">
        <v>70.900000000000006</v>
      </c>
      <c r="E85" s="8">
        <v>89.5</v>
      </c>
      <c r="F85" s="9">
        <f t="shared" si="1"/>
        <v>160.4</v>
      </c>
      <c r="G85" s="10"/>
    </row>
    <row r="86" spans="1:7">
      <c r="A86" s="4">
        <v>83</v>
      </c>
      <c r="B86" s="5" t="s">
        <v>27</v>
      </c>
      <c r="C86" s="6" t="str">
        <f>"2020022906"</f>
        <v>2020022906</v>
      </c>
      <c r="D86" s="7">
        <v>73.099999999999994</v>
      </c>
      <c r="E86" s="8">
        <v>84</v>
      </c>
      <c r="F86" s="9">
        <f t="shared" si="1"/>
        <v>157.1</v>
      </c>
      <c r="G86" s="10"/>
    </row>
    <row r="87" spans="1:7">
      <c r="A87" s="4">
        <v>84</v>
      </c>
      <c r="B87" s="5" t="s">
        <v>27</v>
      </c>
      <c r="C87" s="6" t="str">
        <f>"2020022222"</f>
        <v>2020022222</v>
      </c>
      <c r="D87" s="7">
        <v>73.3</v>
      </c>
      <c r="E87" s="8">
        <v>80</v>
      </c>
      <c r="F87" s="9">
        <f t="shared" si="1"/>
        <v>153.30000000000001</v>
      </c>
      <c r="G87" s="10"/>
    </row>
    <row r="88" spans="1:7">
      <c r="A88" s="4">
        <v>85</v>
      </c>
      <c r="B88" s="5" t="s">
        <v>28</v>
      </c>
      <c r="C88" s="6" t="str">
        <f>"2020011317"</f>
        <v>2020011317</v>
      </c>
      <c r="D88" s="7">
        <v>74.900000000000006</v>
      </c>
      <c r="E88" s="8">
        <v>84</v>
      </c>
      <c r="F88" s="9">
        <f t="shared" si="1"/>
        <v>158.9</v>
      </c>
      <c r="G88" s="10"/>
    </row>
    <row r="89" spans="1:7">
      <c r="A89" s="4">
        <v>86</v>
      </c>
      <c r="B89" s="5" t="s">
        <v>28</v>
      </c>
      <c r="C89" s="6" t="str">
        <f>"2020030729"</f>
        <v>2020030729</v>
      </c>
      <c r="D89" s="7">
        <v>77.3</v>
      </c>
      <c r="E89" s="8">
        <v>75</v>
      </c>
      <c r="F89" s="9">
        <f t="shared" si="1"/>
        <v>152.30000000000001</v>
      </c>
      <c r="G89" s="10"/>
    </row>
    <row r="90" spans="1:7">
      <c r="A90" s="4">
        <v>87</v>
      </c>
      <c r="B90" s="5" t="s">
        <v>28</v>
      </c>
      <c r="C90" s="6" t="str">
        <f>"2020046424"</f>
        <v>2020046424</v>
      </c>
      <c r="D90" s="7">
        <v>74.900000000000006</v>
      </c>
      <c r="E90" s="8">
        <v>76</v>
      </c>
      <c r="F90" s="9">
        <f t="shared" si="1"/>
        <v>150.9</v>
      </c>
      <c r="G90" s="10"/>
    </row>
    <row r="91" spans="1:7">
      <c r="A91" s="4">
        <v>88</v>
      </c>
      <c r="B91" s="5" t="s">
        <v>29</v>
      </c>
      <c r="C91" s="6" t="str">
        <f>"2020033703"</f>
        <v>2020033703</v>
      </c>
      <c r="D91" s="7">
        <v>61.8</v>
      </c>
      <c r="E91" s="8">
        <v>71.5</v>
      </c>
      <c r="F91" s="9">
        <f t="shared" si="1"/>
        <v>133.30000000000001</v>
      </c>
      <c r="G91" s="10"/>
    </row>
    <row r="92" spans="1:7">
      <c r="A92" s="4">
        <v>89</v>
      </c>
      <c r="B92" s="5" t="s">
        <v>29</v>
      </c>
      <c r="C92" s="6" t="str">
        <f>"2020042722"</f>
        <v>2020042722</v>
      </c>
      <c r="D92" s="7">
        <v>71.2</v>
      </c>
      <c r="E92" s="8">
        <v>59</v>
      </c>
      <c r="F92" s="9">
        <f t="shared" si="1"/>
        <v>130.19999999999999</v>
      </c>
      <c r="G92" s="10"/>
    </row>
    <row r="93" spans="1:7">
      <c r="A93" s="4">
        <v>90</v>
      </c>
      <c r="B93" s="5" t="s">
        <v>29</v>
      </c>
      <c r="C93" s="6" t="str">
        <f>"2020042512"</f>
        <v>2020042512</v>
      </c>
      <c r="D93" s="7">
        <v>68</v>
      </c>
      <c r="E93" s="8">
        <v>60.5</v>
      </c>
      <c r="F93" s="9">
        <f t="shared" si="1"/>
        <v>128.5</v>
      </c>
      <c r="G93" s="10"/>
    </row>
    <row r="94" spans="1:7">
      <c r="A94" s="4">
        <v>91</v>
      </c>
      <c r="B94" s="5" t="s">
        <v>30</v>
      </c>
      <c r="C94" s="6" t="str">
        <f>"2020013712"</f>
        <v>2020013712</v>
      </c>
      <c r="D94" s="7">
        <v>73.3</v>
      </c>
      <c r="E94" s="8">
        <v>74.5</v>
      </c>
      <c r="F94" s="9">
        <f t="shared" si="1"/>
        <v>147.80000000000001</v>
      </c>
      <c r="G94" s="10"/>
    </row>
    <row r="95" spans="1:7">
      <c r="A95" s="4">
        <v>92</v>
      </c>
      <c r="B95" s="5" t="s">
        <v>30</v>
      </c>
      <c r="C95" s="6" t="str">
        <f>"2020011020"</f>
        <v>2020011020</v>
      </c>
      <c r="D95" s="7">
        <v>70.400000000000006</v>
      </c>
      <c r="E95" s="8">
        <v>77</v>
      </c>
      <c r="F95" s="9">
        <f t="shared" si="1"/>
        <v>147.4</v>
      </c>
      <c r="G95" s="10"/>
    </row>
    <row r="96" spans="1:7">
      <c r="A96" s="4">
        <v>93</v>
      </c>
      <c r="B96" s="5" t="s">
        <v>30</v>
      </c>
      <c r="C96" s="6" t="str">
        <f>"2020021929"</f>
        <v>2020021929</v>
      </c>
      <c r="D96" s="7">
        <v>66.7</v>
      </c>
      <c r="E96" s="8">
        <v>79</v>
      </c>
      <c r="F96" s="9">
        <f t="shared" si="1"/>
        <v>145.69999999999999</v>
      </c>
      <c r="G96" s="10"/>
    </row>
    <row r="97" spans="1:7">
      <c r="A97" s="4">
        <v>94</v>
      </c>
      <c r="B97" s="5" t="s">
        <v>31</v>
      </c>
      <c r="C97" s="6" t="str">
        <f>"2020043609"</f>
        <v>2020043609</v>
      </c>
      <c r="D97" s="7">
        <v>73.8</v>
      </c>
      <c r="E97" s="8">
        <v>76</v>
      </c>
      <c r="F97" s="9">
        <f t="shared" si="1"/>
        <v>149.80000000000001</v>
      </c>
      <c r="G97" s="10"/>
    </row>
    <row r="98" spans="1:7">
      <c r="A98" s="4">
        <v>95</v>
      </c>
      <c r="B98" s="5" t="s">
        <v>31</v>
      </c>
      <c r="C98" s="6" t="str">
        <f>"2020047507"</f>
        <v>2020047507</v>
      </c>
      <c r="D98" s="7">
        <v>73.7</v>
      </c>
      <c r="E98" s="8">
        <v>75.5</v>
      </c>
      <c r="F98" s="9">
        <f t="shared" si="1"/>
        <v>149.19999999999999</v>
      </c>
      <c r="G98" s="10"/>
    </row>
    <row r="99" spans="1:7">
      <c r="A99" s="4">
        <v>96</v>
      </c>
      <c r="B99" s="5" t="s">
        <v>31</v>
      </c>
      <c r="C99" s="6" t="str">
        <f>"2020040708"</f>
        <v>2020040708</v>
      </c>
      <c r="D99" s="7">
        <v>73.099999999999994</v>
      </c>
      <c r="E99" s="8">
        <v>73.5</v>
      </c>
      <c r="F99" s="9">
        <f t="shared" si="1"/>
        <v>146.6</v>
      </c>
      <c r="G99" s="10"/>
    </row>
    <row r="100" spans="1:7">
      <c r="A100" s="4">
        <v>97</v>
      </c>
      <c r="B100" s="5" t="s">
        <v>32</v>
      </c>
      <c r="C100" s="6" t="str">
        <f>"2020040126"</f>
        <v>2020040126</v>
      </c>
      <c r="D100" s="7">
        <v>73.5</v>
      </c>
      <c r="E100" s="8">
        <v>82.5</v>
      </c>
      <c r="F100" s="9">
        <f t="shared" si="1"/>
        <v>156</v>
      </c>
      <c r="G100" s="10"/>
    </row>
    <row r="101" spans="1:7">
      <c r="A101" s="4">
        <v>98</v>
      </c>
      <c r="B101" s="5" t="s">
        <v>32</v>
      </c>
      <c r="C101" s="6" t="str">
        <f>"2020013602"</f>
        <v>2020013602</v>
      </c>
      <c r="D101" s="7">
        <v>76.099999999999994</v>
      </c>
      <c r="E101" s="8">
        <v>79.5</v>
      </c>
      <c r="F101" s="9">
        <f t="shared" si="1"/>
        <v>155.6</v>
      </c>
      <c r="G101" s="10"/>
    </row>
    <row r="102" spans="1:7">
      <c r="A102" s="4">
        <v>99</v>
      </c>
      <c r="B102" s="5" t="s">
        <v>32</v>
      </c>
      <c r="C102" s="6" t="str">
        <f>"2020030215"</f>
        <v>2020030215</v>
      </c>
      <c r="D102" s="7">
        <v>77.599999999999994</v>
      </c>
      <c r="E102" s="8">
        <v>76</v>
      </c>
      <c r="F102" s="9">
        <f t="shared" si="1"/>
        <v>153.6</v>
      </c>
      <c r="G102" s="10"/>
    </row>
    <row r="103" spans="1:7">
      <c r="A103" s="4">
        <v>100</v>
      </c>
      <c r="B103" s="5" t="s">
        <v>33</v>
      </c>
      <c r="C103" s="6" t="str">
        <f>"2020012016"</f>
        <v>2020012016</v>
      </c>
      <c r="D103" s="7">
        <v>81.5</v>
      </c>
      <c r="E103" s="8">
        <v>86</v>
      </c>
      <c r="F103" s="9">
        <f t="shared" si="1"/>
        <v>167.5</v>
      </c>
      <c r="G103" s="10"/>
    </row>
    <row r="104" spans="1:7">
      <c r="A104" s="4">
        <v>101</v>
      </c>
      <c r="B104" s="5" t="s">
        <v>33</v>
      </c>
      <c r="C104" s="6" t="str">
        <f>"2020047305"</f>
        <v>2020047305</v>
      </c>
      <c r="D104" s="7">
        <v>75</v>
      </c>
      <c r="E104" s="8">
        <v>77.5</v>
      </c>
      <c r="F104" s="9">
        <f t="shared" si="1"/>
        <v>152.5</v>
      </c>
      <c r="G104" s="10"/>
    </row>
    <row r="105" spans="1:7">
      <c r="A105" s="4">
        <v>102</v>
      </c>
      <c r="B105" s="5" t="s">
        <v>33</v>
      </c>
      <c r="C105" s="6" t="str">
        <f>"2020045207"</f>
        <v>2020045207</v>
      </c>
      <c r="D105" s="7">
        <v>70.400000000000006</v>
      </c>
      <c r="E105" s="8">
        <v>81.5</v>
      </c>
      <c r="F105" s="9">
        <f t="shared" si="1"/>
        <v>151.9</v>
      </c>
      <c r="G105" s="10"/>
    </row>
    <row r="106" spans="1:7">
      <c r="A106" s="4">
        <v>103</v>
      </c>
      <c r="B106" s="5" t="s">
        <v>34</v>
      </c>
      <c r="C106" s="6" t="str">
        <f>"2020022116"</f>
        <v>2020022116</v>
      </c>
      <c r="D106" s="7">
        <v>77.900000000000006</v>
      </c>
      <c r="E106" s="8">
        <v>84.5</v>
      </c>
      <c r="F106" s="9">
        <f t="shared" si="1"/>
        <v>162.4</v>
      </c>
      <c r="G106" s="10"/>
    </row>
    <row r="107" spans="1:7">
      <c r="A107" s="4">
        <v>104</v>
      </c>
      <c r="B107" s="5" t="s">
        <v>34</v>
      </c>
      <c r="C107" s="6" t="str">
        <f>"2020021124"</f>
        <v>2020021124</v>
      </c>
      <c r="D107" s="7">
        <v>76.5</v>
      </c>
      <c r="E107" s="8">
        <v>81.5</v>
      </c>
      <c r="F107" s="9">
        <f t="shared" si="1"/>
        <v>158</v>
      </c>
      <c r="G107" s="10"/>
    </row>
    <row r="108" spans="1:7">
      <c r="A108" s="4">
        <v>105</v>
      </c>
      <c r="B108" s="5" t="s">
        <v>34</v>
      </c>
      <c r="C108" s="6" t="str">
        <f>"2020021127"</f>
        <v>2020021127</v>
      </c>
      <c r="D108" s="7">
        <v>76.099999999999994</v>
      </c>
      <c r="E108" s="8">
        <v>80</v>
      </c>
      <c r="F108" s="9">
        <f t="shared" si="1"/>
        <v>156.1</v>
      </c>
      <c r="G108" s="10"/>
    </row>
    <row r="109" spans="1:7">
      <c r="A109" s="4">
        <v>106</v>
      </c>
      <c r="B109" s="5" t="s">
        <v>34</v>
      </c>
      <c r="C109" s="6" t="str">
        <f>"2020043311"</f>
        <v>2020043311</v>
      </c>
      <c r="D109" s="7">
        <v>78</v>
      </c>
      <c r="E109" s="8">
        <v>78</v>
      </c>
      <c r="F109" s="9">
        <f t="shared" si="1"/>
        <v>156</v>
      </c>
      <c r="G109" s="10"/>
    </row>
    <row r="110" spans="1:7">
      <c r="A110" s="4">
        <v>107</v>
      </c>
      <c r="B110" s="5" t="s">
        <v>34</v>
      </c>
      <c r="C110" s="6" t="str">
        <f>"2020013522"</f>
        <v>2020013522</v>
      </c>
      <c r="D110" s="7">
        <v>77.7</v>
      </c>
      <c r="E110" s="8">
        <v>76.5</v>
      </c>
      <c r="F110" s="9">
        <f t="shared" si="1"/>
        <v>154.19999999999999</v>
      </c>
      <c r="G110" s="10"/>
    </row>
    <row r="111" spans="1:7">
      <c r="A111" s="4">
        <v>108</v>
      </c>
      <c r="B111" s="5" t="s">
        <v>34</v>
      </c>
      <c r="C111" s="6" t="str">
        <f>"2020040526"</f>
        <v>2020040526</v>
      </c>
      <c r="D111" s="7">
        <v>70.599999999999994</v>
      </c>
      <c r="E111" s="8">
        <v>82.5</v>
      </c>
      <c r="F111" s="9">
        <f t="shared" si="1"/>
        <v>153.1</v>
      </c>
      <c r="G111" s="10"/>
    </row>
    <row r="112" spans="1:7">
      <c r="A112" s="4">
        <v>109</v>
      </c>
      <c r="B112" s="5" t="s">
        <v>35</v>
      </c>
      <c r="C112" s="6" t="str">
        <f>"2020041804"</f>
        <v>2020041804</v>
      </c>
      <c r="D112" s="7">
        <v>72.099999999999994</v>
      </c>
      <c r="E112" s="8">
        <v>80</v>
      </c>
      <c r="F112" s="9">
        <f t="shared" si="1"/>
        <v>152.1</v>
      </c>
      <c r="G112" s="10"/>
    </row>
    <row r="113" spans="1:7">
      <c r="A113" s="4">
        <v>110</v>
      </c>
      <c r="B113" s="5" t="s">
        <v>35</v>
      </c>
      <c r="C113" s="6" t="str">
        <f>"2020042903"</f>
        <v>2020042903</v>
      </c>
      <c r="D113" s="7">
        <v>63.6</v>
      </c>
      <c r="E113" s="8">
        <v>83</v>
      </c>
      <c r="F113" s="9">
        <f t="shared" si="1"/>
        <v>146.6</v>
      </c>
      <c r="G113" s="10"/>
    </row>
    <row r="114" spans="1:7">
      <c r="A114" s="4">
        <v>111</v>
      </c>
      <c r="B114" s="5" t="s">
        <v>35</v>
      </c>
      <c r="C114" s="6" t="str">
        <f>"2020044323"</f>
        <v>2020044323</v>
      </c>
      <c r="D114" s="7">
        <v>72.5</v>
      </c>
      <c r="E114" s="8">
        <v>73.5</v>
      </c>
      <c r="F114" s="9">
        <f t="shared" si="1"/>
        <v>146</v>
      </c>
      <c r="G114" s="10"/>
    </row>
    <row r="115" spans="1:7">
      <c r="A115" s="4">
        <v>112</v>
      </c>
      <c r="B115" s="5" t="s">
        <v>36</v>
      </c>
      <c r="C115" s="6" t="str">
        <f>"2020023320"</f>
        <v>2020023320</v>
      </c>
      <c r="D115" s="7">
        <v>80.599999999999994</v>
      </c>
      <c r="E115" s="8">
        <v>89</v>
      </c>
      <c r="F115" s="9">
        <f t="shared" si="1"/>
        <v>169.6</v>
      </c>
      <c r="G115" s="10"/>
    </row>
    <row r="116" spans="1:7">
      <c r="A116" s="4">
        <v>113</v>
      </c>
      <c r="B116" s="5" t="s">
        <v>36</v>
      </c>
      <c r="C116" s="6" t="str">
        <f>"2020010606"</f>
        <v>2020010606</v>
      </c>
      <c r="D116" s="7">
        <v>77.3</v>
      </c>
      <c r="E116" s="8">
        <v>88</v>
      </c>
      <c r="F116" s="9">
        <f t="shared" si="1"/>
        <v>165.3</v>
      </c>
      <c r="G116" s="10"/>
    </row>
    <row r="117" spans="1:7">
      <c r="A117" s="4">
        <v>114</v>
      </c>
      <c r="B117" s="5" t="s">
        <v>36</v>
      </c>
      <c r="C117" s="6" t="str">
        <f>"2020024329"</f>
        <v>2020024329</v>
      </c>
      <c r="D117" s="7">
        <v>72.3</v>
      </c>
      <c r="E117" s="8">
        <v>92</v>
      </c>
      <c r="F117" s="9">
        <f t="shared" si="1"/>
        <v>164.3</v>
      </c>
      <c r="G117" s="10"/>
    </row>
    <row r="118" spans="1:7">
      <c r="A118" s="4">
        <v>115</v>
      </c>
      <c r="B118" s="5" t="s">
        <v>37</v>
      </c>
      <c r="C118" s="6" t="str">
        <f>"2020042909"</f>
        <v>2020042909</v>
      </c>
      <c r="D118" s="7">
        <v>76.7</v>
      </c>
      <c r="E118" s="8">
        <v>76.5</v>
      </c>
      <c r="F118" s="9">
        <f t="shared" si="1"/>
        <v>153.19999999999999</v>
      </c>
      <c r="G118" s="10"/>
    </row>
    <row r="119" spans="1:7">
      <c r="A119" s="4">
        <v>116</v>
      </c>
      <c r="B119" s="5" t="s">
        <v>37</v>
      </c>
      <c r="C119" s="6" t="str">
        <f>"2020023003"</f>
        <v>2020023003</v>
      </c>
      <c r="D119" s="7">
        <v>75.599999999999994</v>
      </c>
      <c r="E119" s="8">
        <v>73.5</v>
      </c>
      <c r="F119" s="9">
        <f t="shared" si="1"/>
        <v>149.1</v>
      </c>
      <c r="G119" s="10"/>
    </row>
    <row r="120" spans="1:7">
      <c r="A120" s="4">
        <v>117</v>
      </c>
      <c r="B120" s="5" t="s">
        <v>37</v>
      </c>
      <c r="C120" s="6" t="str">
        <f>"2020031102"</f>
        <v>2020031102</v>
      </c>
      <c r="D120" s="7">
        <v>70.8</v>
      </c>
      <c r="E120" s="8">
        <v>77.5</v>
      </c>
      <c r="F120" s="9">
        <f t="shared" si="1"/>
        <v>148.30000000000001</v>
      </c>
      <c r="G120" s="10"/>
    </row>
    <row r="121" spans="1:7">
      <c r="A121" s="4">
        <v>118</v>
      </c>
      <c r="B121" s="5" t="s">
        <v>38</v>
      </c>
      <c r="C121" s="6" t="str">
        <f>"2020031126"</f>
        <v>2020031126</v>
      </c>
      <c r="D121" s="7">
        <v>74.5</v>
      </c>
      <c r="E121" s="8">
        <v>81</v>
      </c>
      <c r="F121" s="9">
        <f t="shared" si="1"/>
        <v>155.5</v>
      </c>
      <c r="G121" s="10"/>
    </row>
    <row r="122" spans="1:7">
      <c r="A122" s="4">
        <v>119</v>
      </c>
      <c r="B122" s="5" t="s">
        <v>38</v>
      </c>
      <c r="C122" s="6" t="str">
        <f>"2020045524"</f>
        <v>2020045524</v>
      </c>
      <c r="D122" s="7">
        <v>77.099999999999994</v>
      </c>
      <c r="E122" s="8">
        <v>75</v>
      </c>
      <c r="F122" s="9">
        <f t="shared" si="1"/>
        <v>152.1</v>
      </c>
      <c r="G122" s="10"/>
    </row>
    <row r="123" spans="1:7">
      <c r="A123" s="4">
        <v>120</v>
      </c>
      <c r="B123" s="5" t="s">
        <v>38</v>
      </c>
      <c r="C123" s="6" t="str">
        <f>"2020045703"</f>
        <v>2020045703</v>
      </c>
      <c r="D123" s="7">
        <v>73.8</v>
      </c>
      <c r="E123" s="8">
        <v>77.5</v>
      </c>
      <c r="F123" s="9">
        <f t="shared" si="1"/>
        <v>151.30000000000001</v>
      </c>
      <c r="G123" s="10"/>
    </row>
    <row r="124" spans="1:7">
      <c r="A124" s="4">
        <v>121</v>
      </c>
      <c r="B124" s="5" t="s">
        <v>39</v>
      </c>
      <c r="C124" s="6" t="str">
        <f>"2020033316"</f>
        <v>2020033316</v>
      </c>
      <c r="D124" s="7">
        <v>75.2</v>
      </c>
      <c r="E124" s="8">
        <v>77.5</v>
      </c>
      <c r="F124" s="9">
        <f t="shared" si="1"/>
        <v>152.69999999999999</v>
      </c>
      <c r="G124" s="10"/>
    </row>
    <row r="125" spans="1:7">
      <c r="A125" s="4">
        <v>122</v>
      </c>
      <c r="B125" s="5" t="s">
        <v>39</v>
      </c>
      <c r="C125" s="6" t="str">
        <f>"2020032001"</f>
        <v>2020032001</v>
      </c>
      <c r="D125" s="7">
        <v>68.7</v>
      </c>
      <c r="E125" s="8">
        <v>76.5</v>
      </c>
      <c r="F125" s="9">
        <f t="shared" si="1"/>
        <v>145.19999999999999</v>
      </c>
      <c r="G125" s="10"/>
    </row>
    <row r="126" spans="1:7">
      <c r="A126" s="4">
        <v>123</v>
      </c>
      <c r="B126" s="5" t="s">
        <v>39</v>
      </c>
      <c r="C126" s="6" t="str">
        <f>"2020032508"</f>
        <v>2020032508</v>
      </c>
      <c r="D126" s="7">
        <v>71.900000000000006</v>
      </c>
      <c r="E126" s="8">
        <v>70.5</v>
      </c>
      <c r="F126" s="9">
        <f t="shared" si="1"/>
        <v>142.4</v>
      </c>
      <c r="G126" s="10"/>
    </row>
    <row r="127" spans="1:7">
      <c r="A127" s="4">
        <v>124</v>
      </c>
      <c r="B127" s="5" t="s">
        <v>40</v>
      </c>
      <c r="C127" s="6" t="str">
        <f>"2020030425"</f>
        <v>2020030425</v>
      </c>
      <c r="D127" s="7">
        <v>83.3</v>
      </c>
      <c r="E127" s="8">
        <v>78.5</v>
      </c>
      <c r="F127" s="9">
        <f t="shared" si="1"/>
        <v>161.80000000000001</v>
      </c>
      <c r="G127" s="10"/>
    </row>
    <row r="128" spans="1:7">
      <c r="A128" s="4">
        <v>125</v>
      </c>
      <c r="B128" s="5" t="s">
        <v>40</v>
      </c>
      <c r="C128" s="6" t="str">
        <f>"2020032908"</f>
        <v>2020032908</v>
      </c>
      <c r="D128" s="7">
        <v>74.900000000000006</v>
      </c>
      <c r="E128" s="8">
        <v>85.5</v>
      </c>
      <c r="F128" s="9">
        <f t="shared" si="1"/>
        <v>160.4</v>
      </c>
      <c r="G128" s="10"/>
    </row>
    <row r="129" spans="1:7">
      <c r="A129" s="4">
        <v>126</v>
      </c>
      <c r="B129" s="5" t="s">
        <v>40</v>
      </c>
      <c r="C129" s="6" t="str">
        <f>"2020044316"</f>
        <v>2020044316</v>
      </c>
      <c r="D129" s="7">
        <v>74.5</v>
      </c>
      <c r="E129" s="8">
        <v>84</v>
      </c>
      <c r="F129" s="9">
        <f t="shared" si="1"/>
        <v>158.5</v>
      </c>
      <c r="G129" s="10"/>
    </row>
    <row r="130" spans="1:7">
      <c r="A130" s="4">
        <v>127</v>
      </c>
      <c r="B130" s="5" t="s">
        <v>40</v>
      </c>
      <c r="C130" s="6" t="str">
        <f>"2020033925"</f>
        <v>2020033925</v>
      </c>
      <c r="D130" s="7">
        <v>78.8</v>
      </c>
      <c r="E130" s="8">
        <v>79</v>
      </c>
      <c r="F130" s="9">
        <f t="shared" si="1"/>
        <v>157.80000000000001</v>
      </c>
      <c r="G130" s="10"/>
    </row>
    <row r="131" spans="1:7">
      <c r="A131" s="4">
        <v>128</v>
      </c>
      <c r="B131" s="5" t="s">
        <v>40</v>
      </c>
      <c r="C131" s="6" t="str">
        <f>"2020024201"</f>
        <v>2020024201</v>
      </c>
      <c r="D131" s="7">
        <v>72.2</v>
      </c>
      <c r="E131" s="8">
        <v>85.5</v>
      </c>
      <c r="F131" s="9">
        <f t="shared" si="1"/>
        <v>157.69999999999999</v>
      </c>
      <c r="G131" s="10"/>
    </row>
    <row r="132" spans="1:7">
      <c r="A132" s="4">
        <v>129</v>
      </c>
      <c r="B132" s="5" t="s">
        <v>40</v>
      </c>
      <c r="C132" s="6" t="str">
        <f>"2020032602"</f>
        <v>2020032602</v>
      </c>
      <c r="D132" s="7">
        <v>74.2</v>
      </c>
      <c r="E132" s="8">
        <v>76.5</v>
      </c>
      <c r="F132" s="9">
        <f t="shared" ref="F132:F195" si="2">SUM(D132:E132)</f>
        <v>150.69999999999999</v>
      </c>
      <c r="G132" s="10"/>
    </row>
    <row r="133" spans="1:7">
      <c r="A133" s="4">
        <v>130</v>
      </c>
      <c r="B133" s="5" t="s">
        <v>41</v>
      </c>
      <c r="C133" s="6" t="str">
        <f>"2020023010"</f>
        <v>2020023010</v>
      </c>
      <c r="D133" s="7">
        <v>75.7</v>
      </c>
      <c r="E133" s="8">
        <v>74.5</v>
      </c>
      <c r="F133" s="9">
        <f t="shared" si="2"/>
        <v>150.19999999999999</v>
      </c>
      <c r="G133" s="10"/>
    </row>
    <row r="134" spans="1:7">
      <c r="A134" s="4">
        <v>131</v>
      </c>
      <c r="B134" s="5" t="s">
        <v>41</v>
      </c>
      <c r="C134" s="6" t="str">
        <f>"2020046922"</f>
        <v>2020046922</v>
      </c>
      <c r="D134" s="7">
        <v>69.099999999999994</v>
      </c>
      <c r="E134" s="8">
        <v>77.5</v>
      </c>
      <c r="F134" s="9">
        <f t="shared" si="2"/>
        <v>146.6</v>
      </c>
      <c r="G134" s="10"/>
    </row>
    <row r="135" spans="1:7">
      <c r="A135" s="4">
        <v>132</v>
      </c>
      <c r="B135" s="5" t="s">
        <v>41</v>
      </c>
      <c r="C135" s="6" t="str">
        <f>"2020033528"</f>
        <v>2020033528</v>
      </c>
      <c r="D135" s="7">
        <v>72.3</v>
      </c>
      <c r="E135" s="8">
        <v>74</v>
      </c>
      <c r="F135" s="9">
        <f t="shared" si="2"/>
        <v>146.30000000000001</v>
      </c>
      <c r="G135" s="10"/>
    </row>
    <row r="136" spans="1:7">
      <c r="A136" s="4">
        <v>133</v>
      </c>
      <c r="B136" s="5" t="s">
        <v>42</v>
      </c>
      <c r="C136" s="6" t="str">
        <f>"2020022711"</f>
        <v>2020022711</v>
      </c>
      <c r="D136" s="7">
        <v>74.3</v>
      </c>
      <c r="E136" s="8">
        <v>67.5</v>
      </c>
      <c r="F136" s="9">
        <f t="shared" si="2"/>
        <v>141.80000000000001</v>
      </c>
      <c r="G136" s="10"/>
    </row>
    <row r="137" spans="1:7">
      <c r="A137" s="4">
        <v>134</v>
      </c>
      <c r="B137" s="5" t="s">
        <v>42</v>
      </c>
      <c r="C137" s="6" t="str">
        <f>"2020011516"</f>
        <v>2020011516</v>
      </c>
      <c r="D137" s="7">
        <v>69.599999999999994</v>
      </c>
      <c r="E137" s="8">
        <v>71</v>
      </c>
      <c r="F137" s="9">
        <f t="shared" si="2"/>
        <v>140.6</v>
      </c>
      <c r="G137" s="10"/>
    </row>
    <row r="138" spans="1:7">
      <c r="A138" s="4">
        <v>135</v>
      </c>
      <c r="B138" s="5" t="s">
        <v>42</v>
      </c>
      <c r="C138" s="6" t="str">
        <f>"2020044120"</f>
        <v>2020044120</v>
      </c>
      <c r="D138" s="7">
        <v>68.900000000000006</v>
      </c>
      <c r="E138" s="8">
        <v>69.5</v>
      </c>
      <c r="F138" s="9">
        <f t="shared" si="2"/>
        <v>138.4</v>
      </c>
      <c r="G138" s="10"/>
    </row>
    <row r="139" spans="1:7">
      <c r="A139" s="4">
        <v>136</v>
      </c>
      <c r="B139" s="5" t="s">
        <v>43</v>
      </c>
      <c r="C139" s="6" t="str">
        <f>"2020042310"</f>
        <v>2020042310</v>
      </c>
      <c r="D139" s="7">
        <v>78.2</v>
      </c>
      <c r="E139" s="8">
        <v>83.5</v>
      </c>
      <c r="F139" s="9">
        <f t="shared" si="2"/>
        <v>161.69999999999999</v>
      </c>
      <c r="G139" s="10"/>
    </row>
    <row r="140" spans="1:7">
      <c r="A140" s="4">
        <v>137</v>
      </c>
      <c r="B140" s="5" t="s">
        <v>43</v>
      </c>
      <c r="C140" s="6" t="str">
        <f>"2020022308"</f>
        <v>2020022308</v>
      </c>
      <c r="D140" s="7">
        <v>76.599999999999994</v>
      </c>
      <c r="E140" s="8">
        <v>82</v>
      </c>
      <c r="F140" s="9">
        <f t="shared" si="2"/>
        <v>158.6</v>
      </c>
      <c r="G140" s="10"/>
    </row>
    <row r="141" spans="1:7">
      <c r="A141" s="4">
        <v>138</v>
      </c>
      <c r="B141" s="5" t="s">
        <v>43</v>
      </c>
      <c r="C141" s="6" t="str">
        <f>"2020010530"</f>
        <v>2020010530</v>
      </c>
      <c r="D141" s="7">
        <v>78.900000000000006</v>
      </c>
      <c r="E141" s="8">
        <v>78.5</v>
      </c>
      <c r="F141" s="9">
        <f t="shared" si="2"/>
        <v>157.4</v>
      </c>
      <c r="G141" s="10"/>
    </row>
    <row r="142" spans="1:7">
      <c r="A142" s="4">
        <v>139</v>
      </c>
      <c r="B142" s="5" t="s">
        <v>44</v>
      </c>
      <c r="C142" s="6" t="str">
        <f>"2020047204"</f>
        <v>2020047204</v>
      </c>
      <c r="D142" s="7">
        <v>82.7</v>
      </c>
      <c r="E142" s="8">
        <v>79</v>
      </c>
      <c r="F142" s="9">
        <f t="shared" si="2"/>
        <v>161.69999999999999</v>
      </c>
      <c r="G142" s="10"/>
    </row>
    <row r="143" spans="1:7">
      <c r="A143" s="4">
        <v>140</v>
      </c>
      <c r="B143" s="5" t="s">
        <v>44</v>
      </c>
      <c r="C143" s="6" t="str">
        <f>"2020011926"</f>
        <v>2020011926</v>
      </c>
      <c r="D143" s="7">
        <v>70.099999999999994</v>
      </c>
      <c r="E143" s="8">
        <v>89.5</v>
      </c>
      <c r="F143" s="9">
        <f t="shared" si="2"/>
        <v>159.6</v>
      </c>
      <c r="G143" s="10"/>
    </row>
    <row r="144" spans="1:7">
      <c r="A144" s="4">
        <v>141</v>
      </c>
      <c r="B144" s="5" t="s">
        <v>44</v>
      </c>
      <c r="C144" s="6" t="str">
        <f>"2020041126"</f>
        <v>2020041126</v>
      </c>
      <c r="D144" s="7">
        <v>68.3</v>
      </c>
      <c r="E144" s="8">
        <v>88.5</v>
      </c>
      <c r="F144" s="9">
        <f t="shared" si="2"/>
        <v>156.80000000000001</v>
      </c>
      <c r="G144" s="10"/>
    </row>
    <row r="145" spans="1:7">
      <c r="A145" s="4">
        <v>142</v>
      </c>
      <c r="B145" s="5" t="s">
        <v>45</v>
      </c>
      <c r="C145" s="6" t="str">
        <f>"2020031024"</f>
        <v>2020031024</v>
      </c>
      <c r="D145" s="7">
        <v>80.2</v>
      </c>
      <c r="E145" s="8">
        <v>79</v>
      </c>
      <c r="F145" s="9">
        <f t="shared" si="2"/>
        <v>159.19999999999999</v>
      </c>
      <c r="G145" s="10"/>
    </row>
    <row r="146" spans="1:7">
      <c r="A146" s="4">
        <v>143</v>
      </c>
      <c r="B146" s="5" t="s">
        <v>45</v>
      </c>
      <c r="C146" s="6" t="str">
        <f>"2020040529"</f>
        <v>2020040529</v>
      </c>
      <c r="D146" s="7">
        <v>81.900000000000006</v>
      </c>
      <c r="E146" s="8">
        <v>76.5</v>
      </c>
      <c r="F146" s="9">
        <f t="shared" si="2"/>
        <v>158.4</v>
      </c>
      <c r="G146" s="10"/>
    </row>
    <row r="147" spans="1:7">
      <c r="A147" s="4">
        <v>144</v>
      </c>
      <c r="B147" s="5" t="s">
        <v>45</v>
      </c>
      <c r="C147" s="6" t="str">
        <f>"2020047209"</f>
        <v>2020047209</v>
      </c>
      <c r="D147" s="7">
        <v>68.5</v>
      </c>
      <c r="E147" s="8">
        <v>85</v>
      </c>
      <c r="F147" s="9">
        <f t="shared" si="2"/>
        <v>153.5</v>
      </c>
      <c r="G147" s="10"/>
    </row>
    <row r="148" spans="1:7">
      <c r="A148" s="4">
        <v>145</v>
      </c>
      <c r="B148" s="5" t="s">
        <v>46</v>
      </c>
      <c r="C148" s="6" t="str">
        <f>"2020046029"</f>
        <v>2020046029</v>
      </c>
      <c r="D148" s="7">
        <v>74.7</v>
      </c>
      <c r="E148" s="8">
        <v>85</v>
      </c>
      <c r="F148" s="9">
        <f t="shared" si="2"/>
        <v>159.69999999999999</v>
      </c>
      <c r="G148" s="10"/>
    </row>
    <row r="149" spans="1:7">
      <c r="A149" s="4">
        <v>146</v>
      </c>
      <c r="B149" s="5" t="s">
        <v>46</v>
      </c>
      <c r="C149" s="6" t="str">
        <f>"2020047225"</f>
        <v>2020047225</v>
      </c>
      <c r="D149" s="7">
        <v>73.5</v>
      </c>
      <c r="E149" s="8">
        <v>85</v>
      </c>
      <c r="F149" s="9">
        <f t="shared" si="2"/>
        <v>158.5</v>
      </c>
      <c r="G149" s="10"/>
    </row>
    <row r="150" spans="1:7">
      <c r="A150" s="4">
        <v>147</v>
      </c>
      <c r="B150" s="5" t="s">
        <v>46</v>
      </c>
      <c r="C150" s="6" t="str">
        <f>"2020045407"</f>
        <v>2020045407</v>
      </c>
      <c r="D150" s="7">
        <v>76.3</v>
      </c>
      <c r="E150" s="8">
        <v>77</v>
      </c>
      <c r="F150" s="9">
        <f t="shared" si="2"/>
        <v>153.30000000000001</v>
      </c>
      <c r="G150" s="10"/>
    </row>
    <row r="151" spans="1:7">
      <c r="A151" s="4">
        <v>148</v>
      </c>
      <c r="B151" s="5" t="s">
        <v>46</v>
      </c>
      <c r="C151" s="6" t="str">
        <f>"2020024004"</f>
        <v>2020024004</v>
      </c>
      <c r="D151" s="7">
        <v>77.900000000000006</v>
      </c>
      <c r="E151" s="8">
        <v>75</v>
      </c>
      <c r="F151" s="9">
        <f t="shared" si="2"/>
        <v>152.9</v>
      </c>
      <c r="G151" s="10"/>
    </row>
    <row r="152" spans="1:7">
      <c r="A152" s="4">
        <v>149</v>
      </c>
      <c r="B152" s="5" t="s">
        <v>46</v>
      </c>
      <c r="C152" s="6" t="str">
        <f>"2020040627"</f>
        <v>2020040627</v>
      </c>
      <c r="D152" s="7">
        <v>69.900000000000006</v>
      </c>
      <c r="E152" s="8">
        <v>81</v>
      </c>
      <c r="F152" s="9">
        <f t="shared" si="2"/>
        <v>150.9</v>
      </c>
      <c r="G152" s="10"/>
    </row>
    <row r="153" spans="1:7">
      <c r="A153" s="4">
        <v>150</v>
      </c>
      <c r="B153" s="5" t="s">
        <v>46</v>
      </c>
      <c r="C153" s="6" t="str">
        <f>"2020033609"</f>
        <v>2020033609</v>
      </c>
      <c r="D153" s="7">
        <v>78.7</v>
      </c>
      <c r="E153" s="8">
        <v>70.5</v>
      </c>
      <c r="F153" s="9">
        <f t="shared" si="2"/>
        <v>149.19999999999999</v>
      </c>
      <c r="G153" s="10"/>
    </row>
    <row r="154" spans="1:7">
      <c r="A154" s="4">
        <v>151</v>
      </c>
      <c r="B154" s="5" t="s">
        <v>47</v>
      </c>
      <c r="C154" s="6" t="str">
        <f>"2020041929"</f>
        <v>2020041929</v>
      </c>
      <c r="D154" s="7">
        <v>70.099999999999994</v>
      </c>
      <c r="E154" s="8">
        <v>79.5</v>
      </c>
      <c r="F154" s="9">
        <f t="shared" si="2"/>
        <v>149.6</v>
      </c>
      <c r="G154" s="10"/>
    </row>
    <row r="155" spans="1:7">
      <c r="A155" s="4">
        <v>152</v>
      </c>
      <c r="B155" s="5" t="s">
        <v>47</v>
      </c>
      <c r="C155" s="6" t="str">
        <f>"2020047324"</f>
        <v>2020047324</v>
      </c>
      <c r="D155" s="7">
        <v>69.2</v>
      </c>
      <c r="E155" s="8">
        <v>79.5</v>
      </c>
      <c r="F155" s="9">
        <f t="shared" si="2"/>
        <v>148.69999999999999</v>
      </c>
      <c r="G155" s="10"/>
    </row>
    <row r="156" spans="1:7">
      <c r="A156" s="4">
        <v>153</v>
      </c>
      <c r="B156" s="5" t="s">
        <v>47</v>
      </c>
      <c r="C156" s="6" t="str">
        <f>"2020011427"</f>
        <v>2020011427</v>
      </c>
      <c r="D156" s="7">
        <v>67.099999999999994</v>
      </c>
      <c r="E156" s="8">
        <v>78</v>
      </c>
      <c r="F156" s="9">
        <f t="shared" si="2"/>
        <v>145.1</v>
      </c>
      <c r="G156" s="10"/>
    </row>
    <row r="157" spans="1:7">
      <c r="A157" s="4">
        <v>154</v>
      </c>
      <c r="B157" s="5" t="s">
        <v>48</v>
      </c>
      <c r="C157" s="6" t="str">
        <f>"2020022922"</f>
        <v>2020022922</v>
      </c>
      <c r="D157" s="7">
        <v>68.599999999999994</v>
      </c>
      <c r="E157" s="8">
        <v>72.5</v>
      </c>
      <c r="F157" s="9">
        <f t="shared" si="2"/>
        <v>141.1</v>
      </c>
      <c r="G157" s="10"/>
    </row>
    <row r="158" spans="1:7">
      <c r="A158" s="4">
        <v>155</v>
      </c>
      <c r="B158" s="5" t="s">
        <v>48</v>
      </c>
      <c r="C158" s="6" t="str">
        <f>"2020021623"</f>
        <v>2020021623</v>
      </c>
      <c r="D158" s="7">
        <v>66.900000000000006</v>
      </c>
      <c r="E158" s="8">
        <v>70.5</v>
      </c>
      <c r="F158" s="9">
        <f t="shared" si="2"/>
        <v>137.4</v>
      </c>
      <c r="G158" s="10"/>
    </row>
    <row r="159" spans="1:7">
      <c r="A159" s="4">
        <v>156</v>
      </c>
      <c r="B159" s="5" t="s">
        <v>48</v>
      </c>
      <c r="C159" s="6" t="str">
        <f>"2020042716"</f>
        <v>2020042716</v>
      </c>
      <c r="D159" s="7">
        <v>71.8</v>
      </c>
      <c r="E159" s="8">
        <v>61</v>
      </c>
      <c r="F159" s="9">
        <f t="shared" si="2"/>
        <v>132.80000000000001</v>
      </c>
      <c r="G159" s="10"/>
    </row>
    <row r="160" spans="1:7">
      <c r="A160" s="4">
        <v>157</v>
      </c>
      <c r="B160" s="5" t="s">
        <v>49</v>
      </c>
      <c r="C160" s="6" t="str">
        <f>"2020034024"</f>
        <v>2020034024</v>
      </c>
      <c r="D160" s="7">
        <v>76</v>
      </c>
      <c r="E160" s="8">
        <v>86.5</v>
      </c>
      <c r="F160" s="9">
        <f t="shared" si="2"/>
        <v>162.5</v>
      </c>
      <c r="G160" s="10"/>
    </row>
    <row r="161" spans="1:7">
      <c r="A161" s="4">
        <v>158</v>
      </c>
      <c r="B161" s="5" t="s">
        <v>49</v>
      </c>
      <c r="C161" s="6" t="str">
        <f>"2020030115"</f>
        <v>2020030115</v>
      </c>
      <c r="D161" s="7">
        <v>74.2</v>
      </c>
      <c r="E161" s="8">
        <v>85</v>
      </c>
      <c r="F161" s="9">
        <f t="shared" si="2"/>
        <v>159.19999999999999</v>
      </c>
      <c r="G161" s="10"/>
    </row>
    <row r="162" spans="1:7">
      <c r="A162" s="4">
        <v>159</v>
      </c>
      <c r="B162" s="5" t="s">
        <v>49</v>
      </c>
      <c r="C162" s="6" t="str">
        <f>"2020041712"</f>
        <v>2020041712</v>
      </c>
      <c r="D162" s="7">
        <v>78.599999999999994</v>
      </c>
      <c r="E162" s="8">
        <v>72.5</v>
      </c>
      <c r="F162" s="9">
        <f t="shared" si="2"/>
        <v>151.1</v>
      </c>
      <c r="G162" s="10"/>
    </row>
    <row r="163" spans="1:7">
      <c r="A163" s="4">
        <v>160</v>
      </c>
      <c r="B163" s="5" t="s">
        <v>50</v>
      </c>
      <c r="C163" s="6" t="str">
        <f>"2020041013"</f>
        <v>2020041013</v>
      </c>
      <c r="D163" s="7">
        <v>66.599999999999994</v>
      </c>
      <c r="E163" s="8">
        <v>72.5</v>
      </c>
      <c r="F163" s="9">
        <f t="shared" si="2"/>
        <v>139.1</v>
      </c>
      <c r="G163" s="10"/>
    </row>
    <row r="164" spans="1:7">
      <c r="A164" s="4">
        <v>161</v>
      </c>
      <c r="B164" s="5" t="s">
        <v>50</v>
      </c>
      <c r="C164" s="6" t="str">
        <f>"2020046920"</f>
        <v>2020046920</v>
      </c>
      <c r="D164" s="7">
        <v>66.599999999999994</v>
      </c>
      <c r="E164" s="8">
        <v>62</v>
      </c>
      <c r="F164" s="9">
        <f t="shared" si="2"/>
        <v>128.6</v>
      </c>
      <c r="G164" s="10"/>
    </row>
    <row r="165" spans="1:7">
      <c r="A165" s="4">
        <v>162</v>
      </c>
      <c r="B165" s="5" t="s">
        <v>50</v>
      </c>
      <c r="C165" s="6" t="str">
        <f>"2020024521"</f>
        <v>2020024521</v>
      </c>
      <c r="D165" s="7">
        <v>61.5</v>
      </c>
      <c r="E165" s="8">
        <v>65.5</v>
      </c>
      <c r="F165" s="9">
        <f t="shared" si="2"/>
        <v>127</v>
      </c>
      <c r="G165" s="10"/>
    </row>
    <row r="166" spans="1:7">
      <c r="A166" s="4">
        <v>163</v>
      </c>
      <c r="B166" s="5" t="s">
        <v>51</v>
      </c>
      <c r="C166" s="6" t="str">
        <f>"2020013203"</f>
        <v>2020013203</v>
      </c>
      <c r="D166" s="7">
        <v>79.099999999999994</v>
      </c>
      <c r="E166" s="8">
        <v>86.5</v>
      </c>
      <c r="F166" s="9">
        <f t="shared" si="2"/>
        <v>165.6</v>
      </c>
      <c r="G166" s="10"/>
    </row>
    <row r="167" spans="1:7">
      <c r="A167" s="4">
        <v>164</v>
      </c>
      <c r="B167" s="5" t="s">
        <v>51</v>
      </c>
      <c r="C167" s="6" t="str">
        <f>"2020047307"</f>
        <v>2020047307</v>
      </c>
      <c r="D167" s="7">
        <v>79.5</v>
      </c>
      <c r="E167" s="8">
        <v>69.5</v>
      </c>
      <c r="F167" s="9">
        <f t="shared" si="2"/>
        <v>149</v>
      </c>
      <c r="G167" s="10"/>
    </row>
    <row r="168" spans="1:7">
      <c r="A168" s="4">
        <v>165</v>
      </c>
      <c r="B168" s="5" t="s">
        <v>51</v>
      </c>
      <c r="C168" s="6" t="str">
        <f>"2020013125"</f>
        <v>2020013125</v>
      </c>
      <c r="D168" s="7">
        <v>70.099999999999994</v>
      </c>
      <c r="E168" s="8">
        <v>77.5</v>
      </c>
      <c r="F168" s="9">
        <f t="shared" si="2"/>
        <v>147.6</v>
      </c>
      <c r="G168" s="10"/>
    </row>
    <row r="169" spans="1:7">
      <c r="A169" s="4">
        <v>166</v>
      </c>
      <c r="B169" s="5" t="s">
        <v>52</v>
      </c>
      <c r="C169" s="6" t="str">
        <f>"2020041828"</f>
        <v>2020041828</v>
      </c>
      <c r="D169" s="7">
        <v>67.7</v>
      </c>
      <c r="E169" s="8">
        <v>84</v>
      </c>
      <c r="F169" s="9">
        <f t="shared" si="2"/>
        <v>151.69999999999999</v>
      </c>
      <c r="G169" s="10"/>
    </row>
    <row r="170" spans="1:7">
      <c r="A170" s="4">
        <v>167</v>
      </c>
      <c r="B170" s="5" t="s">
        <v>52</v>
      </c>
      <c r="C170" s="6" t="str">
        <f>"2020022713"</f>
        <v>2020022713</v>
      </c>
      <c r="D170" s="7">
        <v>68</v>
      </c>
      <c r="E170" s="8">
        <v>77</v>
      </c>
      <c r="F170" s="9">
        <f t="shared" si="2"/>
        <v>145</v>
      </c>
      <c r="G170" s="10"/>
    </row>
    <row r="171" spans="1:7">
      <c r="A171" s="4">
        <v>168</v>
      </c>
      <c r="B171" s="5" t="s">
        <v>52</v>
      </c>
      <c r="C171" s="6" t="str">
        <f>"2020024414"</f>
        <v>2020024414</v>
      </c>
      <c r="D171" s="7">
        <v>74.5</v>
      </c>
      <c r="E171" s="8">
        <v>68.5</v>
      </c>
      <c r="F171" s="9">
        <f t="shared" si="2"/>
        <v>143</v>
      </c>
      <c r="G171" s="10"/>
    </row>
    <row r="172" spans="1:7">
      <c r="A172" s="4">
        <v>169</v>
      </c>
      <c r="B172" s="5" t="s">
        <v>53</v>
      </c>
      <c r="C172" s="6" t="str">
        <f>"2020047403"</f>
        <v>2020047403</v>
      </c>
      <c r="D172" s="7">
        <v>79.099999999999994</v>
      </c>
      <c r="E172" s="8">
        <v>78.5</v>
      </c>
      <c r="F172" s="9">
        <f t="shared" si="2"/>
        <v>157.6</v>
      </c>
      <c r="G172" s="10"/>
    </row>
    <row r="173" spans="1:7">
      <c r="A173" s="4">
        <v>170</v>
      </c>
      <c r="B173" s="5" t="s">
        <v>53</v>
      </c>
      <c r="C173" s="6" t="str">
        <f>"2020023807"</f>
        <v>2020023807</v>
      </c>
      <c r="D173" s="7">
        <v>72</v>
      </c>
      <c r="E173" s="8">
        <v>76</v>
      </c>
      <c r="F173" s="9">
        <f t="shared" si="2"/>
        <v>148</v>
      </c>
      <c r="G173" s="10"/>
    </row>
    <row r="174" spans="1:7">
      <c r="A174" s="4">
        <v>171</v>
      </c>
      <c r="B174" s="5" t="s">
        <v>53</v>
      </c>
      <c r="C174" s="6" t="str">
        <f>"2020023904"</f>
        <v>2020023904</v>
      </c>
      <c r="D174" s="7">
        <v>73</v>
      </c>
      <c r="E174" s="8">
        <v>74</v>
      </c>
      <c r="F174" s="9">
        <f t="shared" si="2"/>
        <v>147</v>
      </c>
      <c r="G174" s="10"/>
    </row>
    <row r="175" spans="1:7">
      <c r="A175" s="4">
        <v>172</v>
      </c>
      <c r="B175" s="5" t="s">
        <v>54</v>
      </c>
      <c r="C175" s="6" t="str">
        <f>"2020042421"</f>
        <v>2020042421</v>
      </c>
      <c r="D175" s="7">
        <v>73.099999999999994</v>
      </c>
      <c r="E175" s="8">
        <v>86.5</v>
      </c>
      <c r="F175" s="9">
        <f t="shared" si="2"/>
        <v>159.6</v>
      </c>
      <c r="G175" s="10"/>
    </row>
    <row r="176" spans="1:7">
      <c r="A176" s="4">
        <v>173</v>
      </c>
      <c r="B176" s="5" t="s">
        <v>54</v>
      </c>
      <c r="C176" s="6" t="str">
        <f>"2020047415"</f>
        <v>2020047415</v>
      </c>
      <c r="D176" s="7">
        <v>76.900000000000006</v>
      </c>
      <c r="E176" s="8">
        <v>81.5</v>
      </c>
      <c r="F176" s="9">
        <f t="shared" si="2"/>
        <v>158.4</v>
      </c>
      <c r="G176" s="10"/>
    </row>
    <row r="177" spans="1:7">
      <c r="A177" s="4">
        <v>174</v>
      </c>
      <c r="B177" s="5" t="s">
        <v>54</v>
      </c>
      <c r="C177" s="6" t="str">
        <f>"2020032203"</f>
        <v>2020032203</v>
      </c>
      <c r="D177" s="7">
        <v>68.599999999999994</v>
      </c>
      <c r="E177" s="8">
        <v>86.5</v>
      </c>
      <c r="F177" s="9">
        <f t="shared" si="2"/>
        <v>155.1</v>
      </c>
      <c r="G177" s="10"/>
    </row>
    <row r="178" spans="1:7">
      <c r="A178" s="4">
        <v>175</v>
      </c>
      <c r="B178" s="5" t="s">
        <v>55</v>
      </c>
      <c r="C178" s="6" t="str">
        <f>"2020032820"</f>
        <v>2020032820</v>
      </c>
      <c r="D178" s="7">
        <v>70</v>
      </c>
      <c r="E178" s="8">
        <v>83</v>
      </c>
      <c r="F178" s="9">
        <f t="shared" si="2"/>
        <v>153</v>
      </c>
      <c r="G178" s="10"/>
    </row>
    <row r="179" spans="1:7">
      <c r="A179" s="4">
        <v>176</v>
      </c>
      <c r="B179" s="5" t="s">
        <v>55</v>
      </c>
      <c r="C179" s="6" t="str">
        <f>"2020045614"</f>
        <v>2020045614</v>
      </c>
      <c r="D179" s="7">
        <v>74.5</v>
      </c>
      <c r="E179" s="8">
        <v>75.5</v>
      </c>
      <c r="F179" s="9">
        <f t="shared" si="2"/>
        <v>150</v>
      </c>
      <c r="G179" s="10"/>
    </row>
    <row r="180" spans="1:7">
      <c r="A180" s="4">
        <v>177</v>
      </c>
      <c r="B180" s="5" t="s">
        <v>55</v>
      </c>
      <c r="C180" s="6" t="str">
        <f>"2020045714"</f>
        <v>2020045714</v>
      </c>
      <c r="D180" s="7">
        <v>67.3</v>
      </c>
      <c r="E180" s="8">
        <v>78</v>
      </c>
      <c r="F180" s="9">
        <f t="shared" si="2"/>
        <v>145.30000000000001</v>
      </c>
      <c r="G180" s="10"/>
    </row>
    <row r="181" spans="1:7">
      <c r="A181" s="4">
        <v>178</v>
      </c>
      <c r="B181" s="5" t="s">
        <v>56</v>
      </c>
      <c r="C181" s="6" t="str">
        <f>"2020023523"</f>
        <v>2020023523</v>
      </c>
      <c r="D181" s="7">
        <v>77.900000000000006</v>
      </c>
      <c r="E181" s="8">
        <v>81</v>
      </c>
      <c r="F181" s="9">
        <f t="shared" si="2"/>
        <v>158.9</v>
      </c>
      <c r="G181" s="10"/>
    </row>
    <row r="182" spans="1:7">
      <c r="A182" s="4">
        <v>179</v>
      </c>
      <c r="B182" s="5" t="s">
        <v>56</v>
      </c>
      <c r="C182" s="6" t="str">
        <f>"2020040711"</f>
        <v>2020040711</v>
      </c>
      <c r="D182" s="7">
        <v>75.599999999999994</v>
      </c>
      <c r="E182" s="8">
        <v>73.5</v>
      </c>
      <c r="F182" s="9">
        <f t="shared" si="2"/>
        <v>149.1</v>
      </c>
      <c r="G182" s="10"/>
    </row>
    <row r="183" spans="1:7">
      <c r="A183" s="4">
        <v>180</v>
      </c>
      <c r="B183" s="5" t="s">
        <v>56</v>
      </c>
      <c r="C183" s="6" t="str">
        <f>"2020040324"</f>
        <v>2020040324</v>
      </c>
      <c r="D183" s="7">
        <v>71.400000000000006</v>
      </c>
      <c r="E183" s="8">
        <v>77</v>
      </c>
      <c r="F183" s="9">
        <f t="shared" si="2"/>
        <v>148.4</v>
      </c>
      <c r="G183" s="10"/>
    </row>
    <row r="184" spans="1:7">
      <c r="A184" s="4">
        <v>181</v>
      </c>
      <c r="B184" s="5" t="s">
        <v>56</v>
      </c>
      <c r="C184" s="6" t="str">
        <f>"2020043428"</f>
        <v>2020043428</v>
      </c>
      <c r="D184" s="7">
        <v>67.5</v>
      </c>
      <c r="E184" s="8">
        <v>79</v>
      </c>
      <c r="F184" s="9">
        <f t="shared" si="2"/>
        <v>146.5</v>
      </c>
      <c r="G184" s="10"/>
    </row>
    <row r="185" spans="1:7">
      <c r="A185" s="4">
        <v>182</v>
      </c>
      <c r="B185" s="5" t="s">
        <v>56</v>
      </c>
      <c r="C185" s="6" t="str">
        <f>"2020021307"</f>
        <v>2020021307</v>
      </c>
      <c r="D185" s="7">
        <v>73.3</v>
      </c>
      <c r="E185" s="8">
        <v>68</v>
      </c>
      <c r="F185" s="9">
        <f t="shared" si="2"/>
        <v>141.30000000000001</v>
      </c>
      <c r="G185" s="10"/>
    </row>
    <row r="186" spans="1:7">
      <c r="A186" s="4">
        <v>183</v>
      </c>
      <c r="B186" s="5" t="s">
        <v>56</v>
      </c>
      <c r="C186" s="6" t="str">
        <f>"2020021919"</f>
        <v>2020021919</v>
      </c>
      <c r="D186" s="7">
        <v>66.7</v>
      </c>
      <c r="E186" s="8">
        <v>72</v>
      </c>
      <c r="F186" s="9">
        <f t="shared" si="2"/>
        <v>138.69999999999999</v>
      </c>
      <c r="G186" s="10"/>
    </row>
    <row r="187" spans="1:7">
      <c r="A187" s="4">
        <v>184</v>
      </c>
      <c r="B187" s="5" t="s">
        <v>57</v>
      </c>
      <c r="C187" s="6" t="str">
        <f>"2020024014"</f>
        <v>2020024014</v>
      </c>
      <c r="D187" s="7">
        <v>67.400000000000006</v>
      </c>
      <c r="E187" s="8">
        <v>80.5</v>
      </c>
      <c r="F187" s="9">
        <f t="shared" si="2"/>
        <v>147.9</v>
      </c>
      <c r="G187" s="10"/>
    </row>
    <row r="188" spans="1:7">
      <c r="A188" s="4">
        <v>185</v>
      </c>
      <c r="B188" s="5" t="s">
        <v>57</v>
      </c>
      <c r="C188" s="6" t="str">
        <f>"2020013425"</f>
        <v>2020013425</v>
      </c>
      <c r="D188" s="7">
        <v>68.599999999999994</v>
      </c>
      <c r="E188" s="8">
        <v>78.5</v>
      </c>
      <c r="F188" s="9">
        <f t="shared" si="2"/>
        <v>147.1</v>
      </c>
      <c r="G188" s="10"/>
    </row>
    <row r="189" spans="1:7">
      <c r="A189" s="4">
        <v>186</v>
      </c>
      <c r="B189" s="5" t="s">
        <v>57</v>
      </c>
      <c r="C189" s="6" t="str">
        <f>"2020042517"</f>
        <v>2020042517</v>
      </c>
      <c r="D189" s="7">
        <v>73.099999999999994</v>
      </c>
      <c r="E189" s="8">
        <v>66.5</v>
      </c>
      <c r="F189" s="9">
        <f t="shared" si="2"/>
        <v>139.6</v>
      </c>
      <c r="G189" s="10"/>
    </row>
    <row r="190" spans="1:7">
      <c r="A190" s="4">
        <v>187</v>
      </c>
      <c r="B190" s="5" t="s">
        <v>58</v>
      </c>
      <c r="C190" s="6" t="str">
        <f>"2020045607"</f>
        <v>2020045607</v>
      </c>
      <c r="D190" s="7">
        <v>69.3</v>
      </c>
      <c r="E190" s="8">
        <v>68.5</v>
      </c>
      <c r="F190" s="9">
        <f t="shared" si="2"/>
        <v>137.80000000000001</v>
      </c>
      <c r="G190" s="10"/>
    </row>
    <row r="191" spans="1:7">
      <c r="A191" s="4">
        <v>188</v>
      </c>
      <c r="B191" s="5" t="s">
        <v>59</v>
      </c>
      <c r="C191" s="6" t="str">
        <f>"2020032505"</f>
        <v>2020032505</v>
      </c>
      <c r="D191" s="7">
        <v>67.7</v>
      </c>
      <c r="E191" s="8">
        <v>71.5</v>
      </c>
      <c r="F191" s="9">
        <f t="shared" si="2"/>
        <v>139.19999999999999</v>
      </c>
      <c r="G191" s="10"/>
    </row>
    <row r="192" spans="1:7">
      <c r="A192" s="4">
        <v>189</v>
      </c>
      <c r="B192" s="5" t="s">
        <v>59</v>
      </c>
      <c r="C192" s="6" t="str">
        <f>"2020046728"</f>
        <v>2020046728</v>
      </c>
      <c r="D192" s="7">
        <v>73.3</v>
      </c>
      <c r="E192" s="8">
        <v>64</v>
      </c>
      <c r="F192" s="9">
        <f t="shared" si="2"/>
        <v>137.30000000000001</v>
      </c>
      <c r="G192" s="10"/>
    </row>
    <row r="193" spans="1:7">
      <c r="A193" s="4">
        <v>190</v>
      </c>
      <c r="B193" s="5" t="s">
        <v>59</v>
      </c>
      <c r="C193" s="6" t="str">
        <f>"2020041303"</f>
        <v>2020041303</v>
      </c>
      <c r="D193" s="7">
        <v>63.5</v>
      </c>
      <c r="E193" s="8">
        <v>70</v>
      </c>
      <c r="F193" s="9">
        <f t="shared" si="2"/>
        <v>133.5</v>
      </c>
      <c r="G193" s="10"/>
    </row>
    <row r="194" spans="1:7">
      <c r="A194" s="4">
        <v>191</v>
      </c>
      <c r="B194" s="5" t="s">
        <v>60</v>
      </c>
      <c r="C194" s="6" t="str">
        <f>"2020044218"</f>
        <v>2020044218</v>
      </c>
      <c r="D194" s="7">
        <v>75.3</v>
      </c>
      <c r="E194" s="8">
        <v>93</v>
      </c>
      <c r="F194" s="9">
        <f t="shared" si="2"/>
        <v>168.3</v>
      </c>
      <c r="G194" s="10"/>
    </row>
    <row r="195" spans="1:7">
      <c r="A195" s="4">
        <v>192</v>
      </c>
      <c r="B195" s="5" t="s">
        <v>60</v>
      </c>
      <c r="C195" s="6" t="str">
        <f>"2020031112"</f>
        <v>2020031112</v>
      </c>
      <c r="D195" s="7">
        <v>69.8</v>
      </c>
      <c r="E195" s="8">
        <v>81.5</v>
      </c>
      <c r="F195" s="9">
        <f t="shared" si="2"/>
        <v>151.30000000000001</v>
      </c>
      <c r="G195" s="10"/>
    </row>
    <row r="196" spans="1:7">
      <c r="A196" s="4">
        <v>193</v>
      </c>
      <c r="B196" s="5" t="s">
        <v>60</v>
      </c>
      <c r="C196" s="6" t="str">
        <f>"2020046008"</f>
        <v>2020046008</v>
      </c>
      <c r="D196" s="7">
        <v>74.599999999999994</v>
      </c>
      <c r="E196" s="8">
        <v>70</v>
      </c>
      <c r="F196" s="9">
        <f t="shared" ref="F196:F259" si="3">SUM(D196:E196)</f>
        <v>144.6</v>
      </c>
      <c r="G196" s="10"/>
    </row>
    <row r="197" spans="1:7">
      <c r="A197" s="4">
        <v>194</v>
      </c>
      <c r="B197" s="5" t="s">
        <v>60</v>
      </c>
      <c r="C197" s="6" t="str">
        <f>"2020044105"</f>
        <v>2020044105</v>
      </c>
      <c r="D197" s="7">
        <v>68.3</v>
      </c>
      <c r="E197" s="8">
        <v>72</v>
      </c>
      <c r="F197" s="9">
        <f t="shared" si="3"/>
        <v>140.30000000000001</v>
      </c>
      <c r="G197" s="10"/>
    </row>
    <row r="198" spans="1:7">
      <c r="A198" s="4">
        <v>195</v>
      </c>
      <c r="B198" s="5" t="s">
        <v>60</v>
      </c>
      <c r="C198" s="6" t="str">
        <f>"2020010802"</f>
        <v>2020010802</v>
      </c>
      <c r="D198" s="7">
        <v>70.599999999999994</v>
      </c>
      <c r="E198" s="8">
        <v>67</v>
      </c>
      <c r="F198" s="9">
        <f t="shared" si="3"/>
        <v>137.6</v>
      </c>
      <c r="G198" s="10"/>
    </row>
    <row r="199" spans="1:7">
      <c r="A199" s="4">
        <v>196</v>
      </c>
      <c r="B199" s="5" t="s">
        <v>60</v>
      </c>
      <c r="C199" s="6" t="str">
        <f>"2020012510"</f>
        <v>2020012510</v>
      </c>
      <c r="D199" s="7">
        <v>72.5</v>
      </c>
      <c r="E199" s="8">
        <v>65</v>
      </c>
      <c r="F199" s="9">
        <f t="shared" si="3"/>
        <v>137.5</v>
      </c>
      <c r="G199" s="10"/>
    </row>
    <row r="200" spans="1:7">
      <c r="A200" s="4">
        <v>197</v>
      </c>
      <c r="B200" s="5" t="s">
        <v>61</v>
      </c>
      <c r="C200" s="6" t="str">
        <f>"2020012020"</f>
        <v>2020012020</v>
      </c>
      <c r="D200" s="7">
        <v>77.7</v>
      </c>
      <c r="E200" s="8">
        <v>83.5</v>
      </c>
      <c r="F200" s="9">
        <f t="shared" si="3"/>
        <v>161.19999999999999</v>
      </c>
      <c r="G200" s="10"/>
    </row>
    <row r="201" spans="1:7">
      <c r="A201" s="4">
        <v>198</v>
      </c>
      <c r="B201" s="5" t="s">
        <v>61</v>
      </c>
      <c r="C201" s="6" t="str">
        <f>"2020012713"</f>
        <v>2020012713</v>
      </c>
      <c r="D201" s="7">
        <v>72.7</v>
      </c>
      <c r="E201" s="8">
        <v>83.5</v>
      </c>
      <c r="F201" s="9">
        <f t="shared" si="3"/>
        <v>156.19999999999999</v>
      </c>
      <c r="G201" s="10"/>
    </row>
    <row r="202" spans="1:7">
      <c r="A202" s="4">
        <v>199</v>
      </c>
      <c r="B202" s="5" t="s">
        <v>61</v>
      </c>
      <c r="C202" s="6" t="str">
        <f>"2020045117"</f>
        <v>2020045117</v>
      </c>
      <c r="D202" s="7">
        <v>74.3</v>
      </c>
      <c r="E202" s="8">
        <v>79</v>
      </c>
      <c r="F202" s="9">
        <f t="shared" si="3"/>
        <v>153.30000000000001</v>
      </c>
      <c r="G202" s="10"/>
    </row>
    <row r="203" spans="1:7">
      <c r="A203" s="4">
        <v>200</v>
      </c>
      <c r="B203" s="5" t="s">
        <v>61</v>
      </c>
      <c r="C203" s="6" t="str">
        <f>"2020043518"</f>
        <v>2020043518</v>
      </c>
      <c r="D203" s="7">
        <v>71.7</v>
      </c>
      <c r="E203" s="8">
        <v>79</v>
      </c>
      <c r="F203" s="9">
        <f t="shared" si="3"/>
        <v>150.69999999999999</v>
      </c>
      <c r="G203" s="10"/>
    </row>
    <row r="204" spans="1:7">
      <c r="A204" s="4">
        <v>201</v>
      </c>
      <c r="B204" s="5" t="s">
        <v>61</v>
      </c>
      <c r="C204" s="6" t="str">
        <f>"2020023627"</f>
        <v>2020023627</v>
      </c>
      <c r="D204" s="7">
        <v>69.7</v>
      </c>
      <c r="E204" s="8">
        <v>78</v>
      </c>
      <c r="F204" s="9">
        <f t="shared" si="3"/>
        <v>147.69999999999999</v>
      </c>
      <c r="G204" s="10"/>
    </row>
    <row r="205" spans="1:7">
      <c r="A205" s="4">
        <v>202</v>
      </c>
      <c r="B205" s="5" t="s">
        <v>61</v>
      </c>
      <c r="C205" s="6" t="str">
        <f>"2020011014"</f>
        <v>2020011014</v>
      </c>
      <c r="D205" s="7">
        <v>67.7</v>
      </c>
      <c r="E205" s="8">
        <v>78.5</v>
      </c>
      <c r="F205" s="9">
        <f t="shared" si="3"/>
        <v>146.19999999999999</v>
      </c>
      <c r="G205" s="10"/>
    </row>
    <row r="206" spans="1:7">
      <c r="A206" s="4">
        <v>203</v>
      </c>
      <c r="B206" s="5" t="s">
        <v>62</v>
      </c>
      <c r="C206" s="6" t="str">
        <f>"2020024009"</f>
        <v>2020024009</v>
      </c>
      <c r="D206" s="7">
        <v>69.3</v>
      </c>
      <c r="E206" s="8">
        <v>84.5</v>
      </c>
      <c r="F206" s="9">
        <f t="shared" si="3"/>
        <v>153.80000000000001</v>
      </c>
      <c r="G206" s="10"/>
    </row>
    <row r="207" spans="1:7">
      <c r="A207" s="4">
        <v>204</v>
      </c>
      <c r="B207" s="5" t="s">
        <v>62</v>
      </c>
      <c r="C207" s="6" t="str">
        <f>"2020020906"</f>
        <v>2020020906</v>
      </c>
      <c r="D207" s="7">
        <v>65.7</v>
      </c>
      <c r="E207" s="8">
        <v>76.5</v>
      </c>
      <c r="F207" s="9">
        <f t="shared" si="3"/>
        <v>142.19999999999999</v>
      </c>
      <c r="G207" s="10"/>
    </row>
    <row r="208" spans="1:7">
      <c r="A208" s="4">
        <v>205</v>
      </c>
      <c r="B208" s="5" t="s">
        <v>62</v>
      </c>
      <c r="C208" s="6" t="str">
        <f>"2020024717"</f>
        <v>2020024717</v>
      </c>
      <c r="D208" s="7">
        <v>72.400000000000006</v>
      </c>
      <c r="E208" s="8">
        <v>68</v>
      </c>
      <c r="F208" s="9">
        <f t="shared" si="3"/>
        <v>140.4</v>
      </c>
      <c r="G208" s="10"/>
    </row>
    <row r="209" spans="1:7">
      <c r="A209" s="4">
        <v>206</v>
      </c>
      <c r="B209" s="5" t="s">
        <v>62</v>
      </c>
      <c r="C209" s="6" t="str">
        <f>"2020042226"</f>
        <v>2020042226</v>
      </c>
      <c r="D209" s="7">
        <v>72.8</v>
      </c>
      <c r="E209" s="8">
        <v>66.5</v>
      </c>
      <c r="F209" s="9">
        <f t="shared" si="3"/>
        <v>139.30000000000001</v>
      </c>
      <c r="G209" s="10"/>
    </row>
    <row r="210" spans="1:7">
      <c r="A210" s="4">
        <v>207</v>
      </c>
      <c r="B210" s="5" t="s">
        <v>62</v>
      </c>
      <c r="C210" s="6" t="str">
        <f>"2020014027"</f>
        <v>2020014027</v>
      </c>
      <c r="D210" s="7">
        <v>59.7</v>
      </c>
      <c r="E210" s="8">
        <v>78.5</v>
      </c>
      <c r="F210" s="9">
        <f t="shared" si="3"/>
        <v>138.19999999999999</v>
      </c>
      <c r="G210" s="10"/>
    </row>
    <row r="211" spans="1:7">
      <c r="A211" s="4">
        <v>208</v>
      </c>
      <c r="B211" s="5" t="s">
        <v>62</v>
      </c>
      <c r="C211" s="6" t="str">
        <f>"2020024030"</f>
        <v>2020024030</v>
      </c>
      <c r="D211" s="7">
        <v>62.6</v>
      </c>
      <c r="E211" s="8">
        <v>75.5</v>
      </c>
      <c r="F211" s="9">
        <f t="shared" si="3"/>
        <v>138.1</v>
      </c>
      <c r="G211" s="10"/>
    </row>
    <row r="212" spans="1:7">
      <c r="A212" s="4">
        <v>209</v>
      </c>
      <c r="B212" s="5" t="s">
        <v>63</v>
      </c>
      <c r="C212" s="6" t="str">
        <f>"2020032113"</f>
        <v>2020032113</v>
      </c>
      <c r="D212" s="7">
        <v>73.2</v>
      </c>
      <c r="E212" s="8">
        <v>79</v>
      </c>
      <c r="F212" s="9">
        <f t="shared" si="3"/>
        <v>152.19999999999999</v>
      </c>
      <c r="G212" s="10"/>
    </row>
    <row r="213" spans="1:7">
      <c r="A213" s="4">
        <v>210</v>
      </c>
      <c r="B213" s="5" t="s">
        <v>63</v>
      </c>
      <c r="C213" s="6" t="str">
        <f>"2020021624"</f>
        <v>2020021624</v>
      </c>
      <c r="D213" s="7">
        <v>69.599999999999994</v>
      </c>
      <c r="E213" s="8">
        <v>82.5</v>
      </c>
      <c r="F213" s="9">
        <f t="shared" si="3"/>
        <v>152.1</v>
      </c>
      <c r="G213" s="10"/>
    </row>
    <row r="214" spans="1:7">
      <c r="A214" s="4">
        <v>211</v>
      </c>
      <c r="B214" s="5" t="s">
        <v>63</v>
      </c>
      <c r="C214" s="6" t="str">
        <f>"2020031423"</f>
        <v>2020031423</v>
      </c>
      <c r="D214" s="7">
        <v>71.099999999999994</v>
      </c>
      <c r="E214" s="8">
        <v>79.5</v>
      </c>
      <c r="F214" s="9">
        <f t="shared" si="3"/>
        <v>150.6</v>
      </c>
      <c r="G214" s="10"/>
    </row>
    <row r="215" spans="1:7">
      <c r="A215" s="4">
        <v>212</v>
      </c>
      <c r="B215" s="5" t="s">
        <v>64</v>
      </c>
      <c r="C215" s="6" t="str">
        <f>"2020033419"</f>
        <v>2020033419</v>
      </c>
      <c r="D215" s="7">
        <v>80.099999999999994</v>
      </c>
      <c r="E215" s="8">
        <v>79</v>
      </c>
      <c r="F215" s="9">
        <f t="shared" si="3"/>
        <v>159.1</v>
      </c>
      <c r="G215" s="10"/>
    </row>
    <row r="216" spans="1:7">
      <c r="A216" s="4">
        <v>213</v>
      </c>
      <c r="B216" s="5" t="s">
        <v>64</v>
      </c>
      <c r="C216" s="6" t="str">
        <f>"2020047424"</f>
        <v>2020047424</v>
      </c>
      <c r="D216" s="7">
        <v>74.7</v>
      </c>
      <c r="E216" s="8">
        <v>82.5</v>
      </c>
      <c r="F216" s="9">
        <f t="shared" si="3"/>
        <v>157.19999999999999</v>
      </c>
      <c r="G216" s="10"/>
    </row>
    <row r="217" spans="1:7">
      <c r="A217" s="4">
        <v>214</v>
      </c>
      <c r="B217" s="5" t="s">
        <v>64</v>
      </c>
      <c r="C217" s="6" t="str">
        <f>"2020046804"</f>
        <v>2020046804</v>
      </c>
      <c r="D217" s="7">
        <v>77.900000000000006</v>
      </c>
      <c r="E217" s="8">
        <v>77.5</v>
      </c>
      <c r="F217" s="9">
        <f t="shared" si="3"/>
        <v>155.4</v>
      </c>
      <c r="G217" s="10"/>
    </row>
    <row r="218" spans="1:7">
      <c r="A218" s="4">
        <v>215</v>
      </c>
      <c r="B218" s="5" t="s">
        <v>64</v>
      </c>
      <c r="C218" s="6" t="str">
        <f>"2020012104"</f>
        <v>2020012104</v>
      </c>
      <c r="D218" s="7">
        <v>65</v>
      </c>
      <c r="E218" s="8">
        <v>88</v>
      </c>
      <c r="F218" s="9">
        <f t="shared" si="3"/>
        <v>153</v>
      </c>
      <c r="G218" s="10"/>
    </row>
    <row r="219" spans="1:7">
      <c r="A219" s="4">
        <v>216</v>
      </c>
      <c r="B219" s="5" t="s">
        <v>64</v>
      </c>
      <c r="C219" s="6" t="str">
        <f>"2020022912"</f>
        <v>2020022912</v>
      </c>
      <c r="D219" s="7">
        <v>79.2</v>
      </c>
      <c r="E219" s="8">
        <v>73</v>
      </c>
      <c r="F219" s="9">
        <f t="shared" si="3"/>
        <v>152.19999999999999</v>
      </c>
      <c r="G219" s="10"/>
    </row>
    <row r="220" spans="1:7">
      <c r="A220" s="4">
        <v>217</v>
      </c>
      <c r="B220" s="5" t="s">
        <v>64</v>
      </c>
      <c r="C220" s="6" t="str">
        <f>"2020013622"</f>
        <v>2020013622</v>
      </c>
      <c r="D220" s="7">
        <v>73.400000000000006</v>
      </c>
      <c r="E220" s="8">
        <v>77</v>
      </c>
      <c r="F220" s="9">
        <f t="shared" si="3"/>
        <v>150.4</v>
      </c>
      <c r="G220" s="10"/>
    </row>
    <row r="221" spans="1:7">
      <c r="A221" s="4">
        <v>218</v>
      </c>
      <c r="B221" s="5" t="s">
        <v>65</v>
      </c>
      <c r="C221" s="6" t="str">
        <f>"2020031329"</f>
        <v>2020031329</v>
      </c>
      <c r="D221" s="7">
        <v>67.8</v>
      </c>
      <c r="E221" s="8">
        <v>89.5</v>
      </c>
      <c r="F221" s="9">
        <f t="shared" si="3"/>
        <v>157.30000000000001</v>
      </c>
      <c r="G221" s="10"/>
    </row>
    <row r="222" spans="1:7">
      <c r="A222" s="4">
        <v>219</v>
      </c>
      <c r="B222" s="5" t="s">
        <v>65</v>
      </c>
      <c r="C222" s="6" t="str">
        <f>"2020012806"</f>
        <v>2020012806</v>
      </c>
      <c r="D222" s="7">
        <v>75.400000000000006</v>
      </c>
      <c r="E222" s="8">
        <v>73</v>
      </c>
      <c r="F222" s="9">
        <f t="shared" si="3"/>
        <v>148.4</v>
      </c>
      <c r="G222" s="10"/>
    </row>
    <row r="223" spans="1:7">
      <c r="A223" s="4">
        <v>220</v>
      </c>
      <c r="B223" s="5" t="s">
        <v>65</v>
      </c>
      <c r="C223" s="6" t="str">
        <f>"2020043830"</f>
        <v>2020043830</v>
      </c>
      <c r="D223" s="7">
        <v>70.7</v>
      </c>
      <c r="E223" s="8">
        <v>77</v>
      </c>
      <c r="F223" s="9">
        <f t="shared" si="3"/>
        <v>147.69999999999999</v>
      </c>
      <c r="G223" s="10"/>
    </row>
    <row r="224" spans="1:7">
      <c r="A224" s="4">
        <v>221</v>
      </c>
      <c r="B224" s="5" t="s">
        <v>65</v>
      </c>
      <c r="C224" s="6" t="str">
        <f>"2020033322"</f>
        <v>2020033322</v>
      </c>
      <c r="D224" s="7">
        <v>74.5</v>
      </c>
      <c r="E224" s="8">
        <v>69</v>
      </c>
      <c r="F224" s="9">
        <f t="shared" si="3"/>
        <v>143.5</v>
      </c>
      <c r="G224" s="10"/>
    </row>
    <row r="225" spans="1:7">
      <c r="A225" s="4">
        <v>222</v>
      </c>
      <c r="B225" s="5" t="s">
        <v>65</v>
      </c>
      <c r="C225" s="6" t="str">
        <f>"2020020625"</f>
        <v>2020020625</v>
      </c>
      <c r="D225" s="7">
        <v>75.8</v>
      </c>
      <c r="E225" s="8">
        <v>67</v>
      </c>
      <c r="F225" s="9">
        <f t="shared" si="3"/>
        <v>142.80000000000001</v>
      </c>
      <c r="G225" s="10"/>
    </row>
    <row r="226" spans="1:7">
      <c r="A226" s="4">
        <v>223</v>
      </c>
      <c r="B226" s="5" t="s">
        <v>65</v>
      </c>
      <c r="C226" s="6" t="str">
        <f>"2020041004"</f>
        <v>2020041004</v>
      </c>
      <c r="D226" s="7">
        <v>69.2</v>
      </c>
      <c r="E226" s="8">
        <v>72.5</v>
      </c>
      <c r="F226" s="9">
        <f t="shared" si="3"/>
        <v>141.69999999999999</v>
      </c>
      <c r="G226" s="10"/>
    </row>
    <row r="227" spans="1:7">
      <c r="A227" s="4">
        <v>224</v>
      </c>
      <c r="B227" s="5" t="s">
        <v>65</v>
      </c>
      <c r="C227" s="6" t="str">
        <f>"2020044912"</f>
        <v>2020044912</v>
      </c>
      <c r="D227" s="7">
        <v>73.900000000000006</v>
      </c>
      <c r="E227" s="8">
        <v>64.5</v>
      </c>
      <c r="F227" s="9">
        <f t="shared" si="3"/>
        <v>138.4</v>
      </c>
      <c r="G227" s="10"/>
    </row>
    <row r="228" spans="1:7">
      <c r="A228" s="4">
        <v>225</v>
      </c>
      <c r="B228" s="5" t="s">
        <v>65</v>
      </c>
      <c r="C228" s="6" t="str">
        <f>"2020043318"</f>
        <v>2020043318</v>
      </c>
      <c r="D228" s="7">
        <v>66.7</v>
      </c>
      <c r="E228" s="8">
        <v>66</v>
      </c>
      <c r="F228" s="9">
        <f t="shared" si="3"/>
        <v>132.69999999999999</v>
      </c>
      <c r="G228" s="10"/>
    </row>
    <row r="229" spans="1:7">
      <c r="A229" s="4">
        <v>226</v>
      </c>
      <c r="B229" s="5" t="s">
        <v>65</v>
      </c>
      <c r="C229" s="6" t="str">
        <f>"2020040717"</f>
        <v>2020040717</v>
      </c>
      <c r="D229" s="7">
        <v>69.5</v>
      </c>
      <c r="E229" s="8">
        <v>61</v>
      </c>
      <c r="F229" s="9">
        <f t="shared" si="3"/>
        <v>130.5</v>
      </c>
      <c r="G229" s="10"/>
    </row>
    <row r="230" spans="1:7">
      <c r="A230" s="4">
        <v>227</v>
      </c>
      <c r="B230" s="5" t="s">
        <v>66</v>
      </c>
      <c r="C230" s="6" t="str">
        <f>"2020042219"</f>
        <v>2020042219</v>
      </c>
      <c r="D230" s="7">
        <v>66.599999999999994</v>
      </c>
      <c r="E230" s="8">
        <v>80</v>
      </c>
      <c r="F230" s="9">
        <f t="shared" si="3"/>
        <v>146.6</v>
      </c>
      <c r="G230" s="10"/>
    </row>
    <row r="231" spans="1:7">
      <c r="A231" s="4">
        <v>228</v>
      </c>
      <c r="B231" s="5" t="s">
        <v>66</v>
      </c>
      <c r="C231" s="6" t="str">
        <f>"2020030221"</f>
        <v>2020030221</v>
      </c>
      <c r="D231" s="7">
        <v>76.7</v>
      </c>
      <c r="E231" s="8">
        <v>62.5</v>
      </c>
      <c r="F231" s="9">
        <f t="shared" si="3"/>
        <v>139.19999999999999</v>
      </c>
      <c r="G231" s="10"/>
    </row>
    <row r="232" spans="1:7">
      <c r="A232" s="4">
        <v>229</v>
      </c>
      <c r="B232" s="5" t="s">
        <v>67</v>
      </c>
      <c r="C232" s="6" t="str">
        <f>"2020021321"</f>
        <v>2020021321</v>
      </c>
      <c r="D232" s="7">
        <v>79.099999999999994</v>
      </c>
      <c r="E232" s="8">
        <v>79.5</v>
      </c>
      <c r="F232" s="9">
        <f t="shared" si="3"/>
        <v>158.6</v>
      </c>
      <c r="G232" s="10"/>
    </row>
    <row r="233" spans="1:7">
      <c r="A233" s="4">
        <v>230</v>
      </c>
      <c r="B233" s="5" t="s">
        <v>67</v>
      </c>
      <c r="C233" s="6" t="str">
        <f>"2020031410"</f>
        <v>2020031410</v>
      </c>
      <c r="D233" s="7">
        <v>74.599999999999994</v>
      </c>
      <c r="E233" s="8">
        <v>83</v>
      </c>
      <c r="F233" s="9">
        <f t="shared" si="3"/>
        <v>157.6</v>
      </c>
      <c r="G233" s="10"/>
    </row>
    <row r="234" spans="1:7">
      <c r="A234" s="4">
        <v>231</v>
      </c>
      <c r="B234" s="5" t="s">
        <v>67</v>
      </c>
      <c r="C234" s="6" t="str">
        <f>"2020011017"</f>
        <v>2020011017</v>
      </c>
      <c r="D234" s="7">
        <v>71.599999999999994</v>
      </c>
      <c r="E234" s="8">
        <v>85.5</v>
      </c>
      <c r="F234" s="9">
        <f t="shared" si="3"/>
        <v>157.1</v>
      </c>
      <c r="G234" s="10"/>
    </row>
    <row r="235" spans="1:7">
      <c r="A235" s="4">
        <v>232</v>
      </c>
      <c r="B235" s="5" t="s">
        <v>67</v>
      </c>
      <c r="C235" s="6" t="str">
        <f>"2020031224"</f>
        <v>2020031224</v>
      </c>
      <c r="D235" s="7">
        <v>71.900000000000006</v>
      </c>
      <c r="E235" s="8">
        <v>83</v>
      </c>
      <c r="F235" s="9">
        <f t="shared" si="3"/>
        <v>154.9</v>
      </c>
      <c r="G235" s="10"/>
    </row>
    <row r="236" spans="1:7">
      <c r="A236" s="4">
        <v>233</v>
      </c>
      <c r="B236" s="5" t="s">
        <v>67</v>
      </c>
      <c r="C236" s="6" t="str">
        <f>"2020031527"</f>
        <v>2020031527</v>
      </c>
      <c r="D236" s="7">
        <v>80.8</v>
      </c>
      <c r="E236" s="8">
        <v>73.5</v>
      </c>
      <c r="F236" s="9">
        <f t="shared" si="3"/>
        <v>154.30000000000001</v>
      </c>
      <c r="G236" s="10"/>
    </row>
    <row r="237" spans="1:7">
      <c r="A237" s="4">
        <v>234</v>
      </c>
      <c r="B237" s="5" t="s">
        <v>67</v>
      </c>
      <c r="C237" s="6" t="str">
        <f>"2020023518"</f>
        <v>2020023518</v>
      </c>
      <c r="D237" s="7">
        <v>75.599999999999994</v>
      </c>
      <c r="E237" s="8">
        <v>77.5</v>
      </c>
      <c r="F237" s="9">
        <f t="shared" si="3"/>
        <v>153.1</v>
      </c>
      <c r="G237" s="10"/>
    </row>
    <row r="238" spans="1:7">
      <c r="A238" s="4">
        <v>235</v>
      </c>
      <c r="B238" s="5" t="s">
        <v>68</v>
      </c>
      <c r="C238" s="6" t="str">
        <f>"2020041803"</f>
        <v>2020041803</v>
      </c>
      <c r="D238" s="7">
        <v>74</v>
      </c>
      <c r="E238" s="8">
        <v>77.5</v>
      </c>
      <c r="F238" s="9">
        <f t="shared" si="3"/>
        <v>151.5</v>
      </c>
      <c r="G238" s="10"/>
    </row>
    <row r="239" spans="1:7">
      <c r="A239" s="4">
        <v>236</v>
      </c>
      <c r="B239" s="5" t="s">
        <v>68</v>
      </c>
      <c r="C239" s="6" t="str">
        <f>"2020020607"</f>
        <v>2020020607</v>
      </c>
      <c r="D239" s="7">
        <v>68</v>
      </c>
      <c r="E239" s="8">
        <v>79</v>
      </c>
      <c r="F239" s="9">
        <f t="shared" si="3"/>
        <v>147</v>
      </c>
      <c r="G239" s="10"/>
    </row>
    <row r="240" spans="1:7">
      <c r="A240" s="4">
        <v>237</v>
      </c>
      <c r="B240" s="5" t="s">
        <v>68</v>
      </c>
      <c r="C240" s="6" t="str">
        <f>"2020020406"</f>
        <v>2020020406</v>
      </c>
      <c r="D240" s="7">
        <v>66.400000000000006</v>
      </c>
      <c r="E240" s="8">
        <v>80.5</v>
      </c>
      <c r="F240" s="9">
        <f t="shared" si="3"/>
        <v>146.9</v>
      </c>
      <c r="G240" s="10"/>
    </row>
    <row r="241" spans="1:7">
      <c r="A241" s="4">
        <v>238</v>
      </c>
      <c r="B241" s="5" t="s">
        <v>68</v>
      </c>
      <c r="C241" s="6" t="str">
        <f>"2020031403"</f>
        <v>2020031403</v>
      </c>
      <c r="D241" s="7">
        <v>65.900000000000006</v>
      </c>
      <c r="E241" s="8">
        <v>81</v>
      </c>
      <c r="F241" s="9">
        <f t="shared" si="3"/>
        <v>146.9</v>
      </c>
      <c r="G241" s="10"/>
    </row>
    <row r="242" spans="1:7">
      <c r="A242" s="4">
        <v>239</v>
      </c>
      <c r="B242" s="5" t="s">
        <v>68</v>
      </c>
      <c r="C242" s="6" t="str">
        <f>"2020013529"</f>
        <v>2020013529</v>
      </c>
      <c r="D242" s="7">
        <v>71.8</v>
      </c>
      <c r="E242" s="8">
        <v>70</v>
      </c>
      <c r="F242" s="9">
        <f t="shared" si="3"/>
        <v>141.80000000000001</v>
      </c>
      <c r="G242" s="10"/>
    </row>
    <row r="243" spans="1:7">
      <c r="A243" s="4">
        <v>240</v>
      </c>
      <c r="B243" s="5" t="s">
        <v>68</v>
      </c>
      <c r="C243" s="6" t="str">
        <f>"2020046225"</f>
        <v>2020046225</v>
      </c>
      <c r="D243" s="7">
        <v>62.2</v>
      </c>
      <c r="E243" s="8">
        <v>79</v>
      </c>
      <c r="F243" s="9">
        <f t="shared" si="3"/>
        <v>141.19999999999999</v>
      </c>
      <c r="G243" s="10"/>
    </row>
    <row r="244" spans="1:7">
      <c r="A244" s="4">
        <v>241</v>
      </c>
      <c r="B244" s="5" t="s">
        <v>68</v>
      </c>
      <c r="C244" s="6" t="str">
        <f>"2020031125"</f>
        <v>2020031125</v>
      </c>
      <c r="D244" s="7">
        <v>65.599999999999994</v>
      </c>
      <c r="E244" s="8">
        <v>75</v>
      </c>
      <c r="F244" s="9">
        <f t="shared" si="3"/>
        <v>140.6</v>
      </c>
      <c r="G244" s="10"/>
    </row>
    <row r="245" spans="1:7">
      <c r="A245" s="4">
        <v>242</v>
      </c>
      <c r="B245" s="5" t="s">
        <v>68</v>
      </c>
      <c r="C245" s="6" t="str">
        <f>"2020047211"</f>
        <v>2020047211</v>
      </c>
      <c r="D245" s="7">
        <v>69.2</v>
      </c>
      <c r="E245" s="8">
        <v>71</v>
      </c>
      <c r="F245" s="9">
        <f t="shared" si="3"/>
        <v>140.19999999999999</v>
      </c>
      <c r="G245" s="10"/>
    </row>
    <row r="246" spans="1:7">
      <c r="A246" s="4">
        <v>243</v>
      </c>
      <c r="B246" s="5" t="s">
        <v>68</v>
      </c>
      <c r="C246" s="6" t="str">
        <f>"2020045427"</f>
        <v>2020045427</v>
      </c>
      <c r="D246" s="7">
        <v>63.6</v>
      </c>
      <c r="E246" s="8">
        <v>72.5</v>
      </c>
      <c r="F246" s="9">
        <f t="shared" si="3"/>
        <v>136.1</v>
      </c>
      <c r="G246" s="10"/>
    </row>
    <row r="247" spans="1:7">
      <c r="A247" s="4">
        <v>244</v>
      </c>
      <c r="B247" s="5" t="s">
        <v>68</v>
      </c>
      <c r="C247" s="6" t="str">
        <f>"2020044302"</f>
        <v>2020044302</v>
      </c>
      <c r="D247" s="7">
        <v>61.8</v>
      </c>
      <c r="E247" s="8">
        <v>74</v>
      </c>
      <c r="F247" s="9">
        <f t="shared" si="3"/>
        <v>135.80000000000001</v>
      </c>
      <c r="G247" s="10"/>
    </row>
    <row r="248" spans="1:7">
      <c r="A248" s="4">
        <v>245</v>
      </c>
      <c r="B248" s="5" t="s">
        <v>68</v>
      </c>
      <c r="C248" s="6" t="str">
        <f>"2020031326"</f>
        <v>2020031326</v>
      </c>
      <c r="D248" s="7">
        <v>64.400000000000006</v>
      </c>
      <c r="E248" s="8">
        <v>71</v>
      </c>
      <c r="F248" s="9">
        <f t="shared" si="3"/>
        <v>135.4</v>
      </c>
      <c r="G248" s="10"/>
    </row>
    <row r="249" spans="1:7">
      <c r="A249" s="4">
        <v>246</v>
      </c>
      <c r="B249" s="5" t="s">
        <v>68</v>
      </c>
      <c r="C249" s="6" t="str">
        <f>"2020041728"</f>
        <v>2020041728</v>
      </c>
      <c r="D249" s="7">
        <v>67.8</v>
      </c>
      <c r="E249" s="8">
        <v>66.5</v>
      </c>
      <c r="F249" s="9">
        <f t="shared" si="3"/>
        <v>134.30000000000001</v>
      </c>
      <c r="G249" s="10"/>
    </row>
    <row r="250" spans="1:7">
      <c r="A250" s="4">
        <v>247</v>
      </c>
      <c r="B250" s="5" t="s">
        <v>69</v>
      </c>
      <c r="C250" s="6" t="str">
        <f>"2020013122"</f>
        <v>2020013122</v>
      </c>
      <c r="D250" s="7">
        <v>77.2</v>
      </c>
      <c r="E250" s="8">
        <v>75</v>
      </c>
      <c r="F250" s="9">
        <f t="shared" si="3"/>
        <v>152.19999999999999</v>
      </c>
      <c r="G250" s="10"/>
    </row>
    <row r="251" spans="1:7">
      <c r="A251" s="4">
        <v>248</v>
      </c>
      <c r="B251" s="5" t="s">
        <v>69</v>
      </c>
      <c r="C251" s="6" t="str">
        <f>"2020031811"</f>
        <v>2020031811</v>
      </c>
      <c r="D251" s="7">
        <v>64.900000000000006</v>
      </c>
      <c r="E251" s="8">
        <v>82</v>
      </c>
      <c r="F251" s="9">
        <f t="shared" si="3"/>
        <v>146.9</v>
      </c>
      <c r="G251" s="10"/>
    </row>
    <row r="252" spans="1:7">
      <c r="A252" s="4">
        <v>249</v>
      </c>
      <c r="B252" s="5" t="s">
        <v>69</v>
      </c>
      <c r="C252" s="6" t="str">
        <f>"2020044720"</f>
        <v>2020044720</v>
      </c>
      <c r="D252" s="7">
        <v>68.8</v>
      </c>
      <c r="E252" s="8">
        <v>76.5</v>
      </c>
      <c r="F252" s="9">
        <f t="shared" si="3"/>
        <v>145.30000000000001</v>
      </c>
      <c r="G252" s="10" t="s">
        <v>203</v>
      </c>
    </row>
    <row r="253" spans="1:7">
      <c r="A253" s="4">
        <v>250</v>
      </c>
      <c r="B253" s="5" t="s">
        <v>69</v>
      </c>
      <c r="C253" s="6" t="str">
        <f>"2020041719"</f>
        <v>2020041719</v>
      </c>
      <c r="D253" s="7">
        <v>73.5</v>
      </c>
      <c r="E253" s="8">
        <v>70</v>
      </c>
      <c r="F253" s="9">
        <f t="shared" si="3"/>
        <v>143.5</v>
      </c>
      <c r="G253" s="10"/>
    </row>
    <row r="254" spans="1:7">
      <c r="A254" s="4">
        <v>251</v>
      </c>
      <c r="B254" s="5" t="s">
        <v>69</v>
      </c>
      <c r="C254" s="6" t="str">
        <f>"2020043321"</f>
        <v>2020043321</v>
      </c>
      <c r="D254" s="7">
        <v>74.599999999999994</v>
      </c>
      <c r="E254" s="8">
        <v>68.5</v>
      </c>
      <c r="F254" s="9">
        <f t="shared" si="3"/>
        <v>143.1</v>
      </c>
      <c r="G254" s="10"/>
    </row>
    <row r="255" spans="1:7">
      <c r="A255" s="4">
        <v>252</v>
      </c>
      <c r="B255" s="5" t="s">
        <v>69</v>
      </c>
      <c r="C255" s="6" t="str">
        <f>"2020011519"</f>
        <v>2020011519</v>
      </c>
      <c r="D255" s="7">
        <v>78.400000000000006</v>
      </c>
      <c r="E255" s="8">
        <v>63.5</v>
      </c>
      <c r="F255" s="9">
        <f t="shared" si="3"/>
        <v>141.9</v>
      </c>
      <c r="G255" s="10"/>
    </row>
    <row r="256" spans="1:7">
      <c r="A256" s="4">
        <v>253</v>
      </c>
      <c r="B256" s="5" t="s">
        <v>70</v>
      </c>
      <c r="C256" s="6" t="str">
        <f>"2020042304"</f>
        <v>2020042304</v>
      </c>
      <c r="D256" s="7">
        <v>74.8</v>
      </c>
      <c r="E256" s="8">
        <v>78.5</v>
      </c>
      <c r="F256" s="9">
        <f t="shared" si="3"/>
        <v>153.30000000000001</v>
      </c>
      <c r="G256" s="10"/>
    </row>
    <row r="257" spans="1:7">
      <c r="A257" s="4">
        <v>254</v>
      </c>
      <c r="B257" s="5" t="s">
        <v>70</v>
      </c>
      <c r="C257" s="6" t="str">
        <f>"2020011906"</f>
        <v>2020011906</v>
      </c>
      <c r="D257" s="7">
        <v>70.3</v>
      </c>
      <c r="E257" s="8">
        <v>77.5</v>
      </c>
      <c r="F257" s="9">
        <f t="shared" si="3"/>
        <v>147.80000000000001</v>
      </c>
      <c r="G257" s="10"/>
    </row>
    <row r="258" spans="1:7">
      <c r="A258" s="4">
        <v>255</v>
      </c>
      <c r="B258" s="5" t="s">
        <v>70</v>
      </c>
      <c r="C258" s="6" t="str">
        <f>"2020033028"</f>
        <v>2020033028</v>
      </c>
      <c r="D258" s="7">
        <v>65.400000000000006</v>
      </c>
      <c r="E258" s="8">
        <v>76</v>
      </c>
      <c r="F258" s="9">
        <f t="shared" si="3"/>
        <v>141.4</v>
      </c>
      <c r="G258" s="10"/>
    </row>
    <row r="259" spans="1:7">
      <c r="A259" s="4">
        <v>256</v>
      </c>
      <c r="B259" s="5" t="s">
        <v>71</v>
      </c>
      <c r="C259" s="6" t="str">
        <f>"2020044520"</f>
        <v>2020044520</v>
      </c>
      <c r="D259" s="7">
        <v>74.3</v>
      </c>
      <c r="E259" s="8">
        <v>85</v>
      </c>
      <c r="F259" s="9">
        <f t="shared" si="3"/>
        <v>159.30000000000001</v>
      </c>
      <c r="G259" s="10"/>
    </row>
    <row r="260" spans="1:7">
      <c r="A260" s="4">
        <v>257</v>
      </c>
      <c r="B260" s="5" t="s">
        <v>71</v>
      </c>
      <c r="C260" s="6" t="str">
        <f>"2020040415"</f>
        <v>2020040415</v>
      </c>
      <c r="D260" s="7">
        <v>76.900000000000006</v>
      </c>
      <c r="E260" s="8">
        <v>82</v>
      </c>
      <c r="F260" s="9">
        <f t="shared" ref="F260:F323" si="4">SUM(D260:E260)</f>
        <v>158.9</v>
      </c>
      <c r="G260" s="10"/>
    </row>
    <row r="261" spans="1:7">
      <c r="A261" s="4">
        <v>258</v>
      </c>
      <c r="B261" s="5" t="s">
        <v>71</v>
      </c>
      <c r="C261" s="6" t="str">
        <f>"2020044110"</f>
        <v>2020044110</v>
      </c>
      <c r="D261" s="7">
        <v>74.400000000000006</v>
      </c>
      <c r="E261" s="8">
        <v>81</v>
      </c>
      <c r="F261" s="9">
        <f t="shared" si="4"/>
        <v>155.4</v>
      </c>
      <c r="G261" s="10"/>
    </row>
    <row r="262" spans="1:7">
      <c r="A262" s="4">
        <v>259</v>
      </c>
      <c r="B262" s="5" t="s">
        <v>72</v>
      </c>
      <c r="C262" s="6" t="str">
        <f>"2020023218"</f>
        <v>2020023218</v>
      </c>
      <c r="D262" s="7">
        <v>62.1</v>
      </c>
      <c r="E262" s="8">
        <v>69.5</v>
      </c>
      <c r="F262" s="9">
        <f t="shared" si="4"/>
        <v>131.6</v>
      </c>
      <c r="G262" s="10"/>
    </row>
    <row r="263" spans="1:7">
      <c r="A263" s="4">
        <v>260</v>
      </c>
      <c r="B263" s="5" t="s">
        <v>72</v>
      </c>
      <c r="C263" s="6" t="str">
        <f>"2020013813"</f>
        <v>2020013813</v>
      </c>
      <c r="D263" s="7">
        <v>69.599999999999994</v>
      </c>
      <c r="E263" s="8">
        <v>59.5</v>
      </c>
      <c r="F263" s="9">
        <f t="shared" si="4"/>
        <v>129.1</v>
      </c>
      <c r="G263" s="10"/>
    </row>
    <row r="264" spans="1:7">
      <c r="A264" s="4">
        <v>261</v>
      </c>
      <c r="B264" s="5" t="s">
        <v>73</v>
      </c>
      <c r="C264" s="6" t="str">
        <f>"2020024625"</f>
        <v>2020024625</v>
      </c>
      <c r="D264" s="7">
        <v>73.900000000000006</v>
      </c>
      <c r="E264" s="8">
        <v>87</v>
      </c>
      <c r="F264" s="9">
        <f t="shared" si="4"/>
        <v>160.9</v>
      </c>
      <c r="G264" s="10"/>
    </row>
    <row r="265" spans="1:7">
      <c r="A265" s="4">
        <v>262</v>
      </c>
      <c r="B265" s="5" t="s">
        <v>73</v>
      </c>
      <c r="C265" s="6" t="str">
        <f>"2020010919"</f>
        <v>2020010919</v>
      </c>
      <c r="D265" s="7">
        <v>71.099999999999994</v>
      </c>
      <c r="E265" s="8">
        <v>79.5</v>
      </c>
      <c r="F265" s="9">
        <f t="shared" si="4"/>
        <v>150.6</v>
      </c>
      <c r="G265" s="10"/>
    </row>
    <row r="266" spans="1:7">
      <c r="A266" s="4">
        <v>263</v>
      </c>
      <c r="B266" s="5" t="s">
        <v>73</v>
      </c>
      <c r="C266" s="6" t="str">
        <f>"2020021517"</f>
        <v>2020021517</v>
      </c>
      <c r="D266" s="7">
        <v>72.599999999999994</v>
      </c>
      <c r="E266" s="8">
        <v>71</v>
      </c>
      <c r="F266" s="9">
        <f t="shared" si="4"/>
        <v>143.6</v>
      </c>
      <c r="G266" s="10"/>
    </row>
    <row r="267" spans="1:7">
      <c r="A267" s="4">
        <v>264</v>
      </c>
      <c r="B267" s="5" t="s">
        <v>74</v>
      </c>
      <c r="C267" s="6" t="str">
        <f>"2020013520"</f>
        <v>2020013520</v>
      </c>
      <c r="D267" s="7">
        <v>78.599999999999994</v>
      </c>
      <c r="E267" s="8">
        <v>71.5</v>
      </c>
      <c r="F267" s="9">
        <f t="shared" si="4"/>
        <v>150.1</v>
      </c>
      <c r="G267" s="10"/>
    </row>
    <row r="268" spans="1:7">
      <c r="A268" s="4">
        <v>265</v>
      </c>
      <c r="B268" s="5" t="s">
        <v>74</v>
      </c>
      <c r="C268" s="6" t="str">
        <f>"2020033010"</f>
        <v>2020033010</v>
      </c>
      <c r="D268" s="7">
        <v>73.099999999999994</v>
      </c>
      <c r="E268" s="8">
        <v>76</v>
      </c>
      <c r="F268" s="9">
        <f t="shared" si="4"/>
        <v>149.1</v>
      </c>
      <c r="G268" s="10"/>
    </row>
    <row r="269" spans="1:7">
      <c r="A269" s="4">
        <v>266</v>
      </c>
      <c r="B269" s="5" t="s">
        <v>74</v>
      </c>
      <c r="C269" s="6" t="str">
        <f>"2020033228"</f>
        <v>2020033228</v>
      </c>
      <c r="D269" s="7">
        <v>69.599999999999994</v>
      </c>
      <c r="E269" s="8">
        <v>77.5</v>
      </c>
      <c r="F269" s="9">
        <f t="shared" si="4"/>
        <v>147.1</v>
      </c>
      <c r="G269" s="10"/>
    </row>
    <row r="270" spans="1:7">
      <c r="A270" s="4">
        <v>267</v>
      </c>
      <c r="B270" s="5" t="s">
        <v>75</v>
      </c>
      <c r="C270" s="6" t="str">
        <f>"2020043516"</f>
        <v>2020043516</v>
      </c>
      <c r="D270" s="7">
        <v>64.2</v>
      </c>
      <c r="E270" s="8">
        <v>75.5</v>
      </c>
      <c r="F270" s="9">
        <f t="shared" si="4"/>
        <v>139.69999999999999</v>
      </c>
      <c r="G270" s="10"/>
    </row>
    <row r="271" spans="1:7">
      <c r="A271" s="4">
        <v>268</v>
      </c>
      <c r="B271" s="5" t="s">
        <v>75</v>
      </c>
      <c r="C271" s="6" t="str">
        <f>"2020021203"</f>
        <v>2020021203</v>
      </c>
      <c r="D271" s="7">
        <v>70.5</v>
      </c>
      <c r="E271" s="8">
        <v>68.5</v>
      </c>
      <c r="F271" s="9">
        <f t="shared" si="4"/>
        <v>139</v>
      </c>
      <c r="G271" s="10"/>
    </row>
    <row r="272" spans="1:7">
      <c r="A272" s="4">
        <v>269</v>
      </c>
      <c r="B272" s="5" t="s">
        <v>75</v>
      </c>
      <c r="C272" s="6" t="str">
        <f>"2020023919"</f>
        <v>2020023919</v>
      </c>
      <c r="D272" s="7">
        <v>64.8</v>
      </c>
      <c r="E272" s="8">
        <v>73</v>
      </c>
      <c r="F272" s="9">
        <f t="shared" si="4"/>
        <v>137.80000000000001</v>
      </c>
      <c r="G272" s="10"/>
    </row>
    <row r="273" spans="1:7">
      <c r="A273" s="4">
        <v>270</v>
      </c>
      <c r="B273" s="5" t="s">
        <v>76</v>
      </c>
      <c r="C273" s="6" t="str">
        <f>"2020012530"</f>
        <v>2020012530</v>
      </c>
      <c r="D273" s="7">
        <v>71.900000000000006</v>
      </c>
      <c r="E273" s="8">
        <v>85.5</v>
      </c>
      <c r="F273" s="9">
        <f t="shared" si="4"/>
        <v>157.4</v>
      </c>
      <c r="G273" s="10"/>
    </row>
    <row r="274" spans="1:7">
      <c r="A274" s="4">
        <v>271</v>
      </c>
      <c r="B274" s="5" t="s">
        <v>76</v>
      </c>
      <c r="C274" s="6" t="str">
        <f>"2020033501"</f>
        <v>2020033501</v>
      </c>
      <c r="D274" s="7">
        <v>65.7</v>
      </c>
      <c r="E274" s="8">
        <v>82</v>
      </c>
      <c r="F274" s="9">
        <f t="shared" si="4"/>
        <v>147.69999999999999</v>
      </c>
      <c r="G274" s="10"/>
    </row>
    <row r="275" spans="1:7">
      <c r="A275" s="4">
        <v>272</v>
      </c>
      <c r="B275" s="5" t="s">
        <v>76</v>
      </c>
      <c r="C275" s="6" t="str">
        <f>"2020010526"</f>
        <v>2020010526</v>
      </c>
      <c r="D275" s="7">
        <v>71.5</v>
      </c>
      <c r="E275" s="8">
        <v>65.5</v>
      </c>
      <c r="F275" s="9">
        <f t="shared" si="4"/>
        <v>137</v>
      </c>
      <c r="G275" s="10"/>
    </row>
    <row r="276" spans="1:7">
      <c r="A276" s="4">
        <v>273</v>
      </c>
      <c r="B276" s="5" t="s">
        <v>76</v>
      </c>
      <c r="C276" s="6" t="str">
        <f>"2020010905"</f>
        <v>2020010905</v>
      </c>
      <c r="D276" s="7">
        <v>64.599999999999994</v>
      </c>
      <c r="E276" s="8">
        <v>60</v>
      </c>
      <c r="F276" s="9">
        <f t="shared" si="4"/>
        <v>124.6</v>
      </c>
      <c r="G276" s="10"/>
    </row>
    <row r="277" spans="1:7">
      <c r="A277" s="4">
        <v>274</v>
      </c>
      <c r="B277" s="5" t="s">
        <v>77</v>
      </c>
      <c r="C277" s="6" t="str">
        <f>"2020021923"</f>
        <v>2020021923</v>
      </c>
      <c r="D277" s="7">
        <v>67.5</v>
      </c>
      <c r="E277" s="8">
        <v>75.5</v>
      </c>
      <c r="F277" s="9">
        <f t="shared" si="4"/>
        <v>143</v>
      </c>
      <c r="G277" s="10"/>
    </row>
    <row r="278" spans="1:7">
      <c r="A278" s="4">
        <v>275</v>
      </c>
      <c r="B278" s="5" t="s">
        <v>77</v>
      </c>
      <c r="C278" s="6" t="str">
        <f>"2020044407"</f>
        <v>2020044407</v>
      </c>
      <c r="D278" s="7">
        <v>67.900000000000006</v>
      </c>
      <c r="E278" s="8">
        <v>74</v>
      </c>
      <c r="F278" s="9">
        <f t="shared" si="4"/>
        <v>141.9</v>
      </c>
      <c r="G278" s="10"/>
    </row>
    <row r="279" spans="1:7">
      <c r="A279" s="4">
        <v>276</v>
      </c>
      <c r="B279" s="5" t="s">
        <v>77</v>
      </c>
      <c r="C279" s="6" t="str">
        <f>"2020012010"</f>
        <v>2020012010</v>
      </c>
      <c r="D279" s="7">
        <v>68</v>
      </c>
      <c r="E279" s="8">
        <v>67.5</v>
      </c>
      <c r="F279" s="9">
        <f t="shared" si="4"/>
        <v>135.5</v>
      </c>
      <c r="G279" s="10"/>
    </row>
    <row r="280" spans="1:7">
      <c r="A280" s="4">
        <v>277</v>
      </c>
      <c r="B280" s="5" t="s">
        <v>77</v>
      </c>
      <c r="C280" s="6" t="str">
        <f>"2020022909"</f>
        <v>2020022909</v>
      </c>
      <c r="D280" s="7">
        <v>63.5</v>
      </c>
      <c r="E280" s="8">
        <v>69</v>
      </c>
      <c r="F280" s="9">
        <f t="shared" si="4"/>
        <v>132.5</v>
      </c>
      <c r="G280" s="10"/>
    </row>
    <row r="281" spans="1:7">
      <c r="A281" s="4">
        <v>278</v>
      </c>
      <c r="B281" s="5" t="s">
        <v>77</v>
      </c>
      <c r="C281" s="6" t="str">
        <f>"2020045027"</f>
        <v>2020045027</v>
      </c>
      <c r="D281" s="7">
        <v>64.2</v>
      </c>
      <c r="E281" s="8">
        <v>66.5</v>
      </c>
      <c r="F281" s="9">
        <f t="shared" si="4"/>
        <v>130.69999999999999</v>
      </c>
      <c r="G281" s="10"/>
    </row>
    <row r="282" spans="1:7">
      <c r="A282" s="4">
        <v>279</v>
      </c>
      <c r="B282" s="5" t="s">
        <v>77</v>
      </c>
      <c r="C282" s="6" t="str">
        <f>"2020023304"</f>
        <v>2020023304</v>
      </c>
      <c r="D282" s="7">
        <v>68.400000000000006</v>
      </c>
      <c r="E282" s="8">
        <v>62</v>
      </c>
      <c r="F282" s="9">
        <f t="shared" si="4"/>
        <v>130.4</v>
      </c>
      <c r="G282" s="10"/>
    </row>
    <row r="283" spans="1:7">
      <c r="A283" s="4">
        <v>280</v>
      </c>
      <c r="B283" s="5" t="s">
        <v>78</v>
      </c>
      <c r="C283" s="6" t="str">
        <f>"2020024323"</f>
        <v>2020024323</v>
      </c>
      <c r="D283" s="7">
        <v>80.7</v>
      </c>
      <c r="E283" s="8">
        <v>72</v>
      </c>
      <c r="F283" s="9">
        <f t="shared" si="4"/>
        <v>152.69999999999999</v>
      </c>
      <c r="G283" s="10"/>
    </row>
    <row r="284" spans="1:7">
      <c r="A284" s="4">
        <v>281</v>
      </c>
      <c r="B284" s="5" t="s">
        <v>78</v>
      </c>
      <c r="C284" s="6" t="str">
        <f>"2020042227"</f>
        <v>2020042227</v>
      </c>
      <c r="D284" s="7">
        <v>75</v>
      </c>
      <c r="E284" s="8">
        <v>71.5</v>
      </c>
      <c r="F284" s="9">
        <f t="shared" si="4"/>
        <v>146.5</v>
      </c>
      <c r="G284" s="10"/>
    </row>
    <row r="285" spans="1:7">
      <c r="A285" s="4">
        <v>282</v>
      </c>
      <c r="B285" s="5" t="s">
        <v>78</v>
      </c>
      <c r="C285" s="6" t="str">
        <f>"2020012324"</f>
        <v>2020012324</v>
      </c>
      <c r="D285" s="7">
        <v>70.599999999999994</v>
      </c>
      <c r="E285" s="8">
        <v>71.5</v>
      </c>
      <c r="F285" s="9">
        <f t="shared" si="4"/>
        <v>142.1</v>
      </c>
      <c r="G285" s="10"/>
    </row>
    <row r="286" spans="1:7">
      <c r="A286" s="4">
        <v>283</v>
      </c>
      <c r="B286" s="5" t="s">
        <v>79</v>
      </c>
      <c r="C286" s="6" t="str">
        <f>"2020043414"</f>
        <v>2020043414</v>
      </c>
      <c r="D286" s="7">
        <v>75.400000000000006</v>
      </c>
      <c r="E286" s="8">
        <v>85</v>
      </c>
      <c r="F286" s="9">
        <f t="shared" si="4"/>
        <v>160.4</v>
      </c>
      <c r="G286" s="10"/>
    </row>
    <row r="287" spans="1:7">
      <c r="A287" s="4">
        <v>284</v>
      </c>
      <c r="B287" s="5" t="s">
        <v>79</v>
      </c>
      <c r="C287" s="6" t="str">
        <f>"2020023624"</f>
        <v>2020023624</v>
      </c>
      <c r="D287" s="7">
        <v>77.3</v>
      </c>
      <c r="E287" s="8">
        <v>80.5</v>
      </c>
      <c r="F287" s="9">
        <f t="shared" si="4"/>
        <v>157.80000000000001</v>
      </c>
      <c r="G287" s="10"/>
    </row>
    <row r="288" spans="1:7">
      <c r="A288" s="4">
        <v>285</v>
      </c>
      <c r="B288" s="5" t="s">
        <v>79</v>
      </c>
      <c r="C288" s="6" t="str">
        <f>"2020032621"</f>
        <v>2020032621</v>
      </c>
      <c r="D288" s="7">
        <v>77.900000000000006</v>
      </c>
      <c r="E288" s="8">
        <v>78.5</v>
      </c>
      <c r="F288" s="9">
        <f t="shared" si="4"/>
        <v>156.4</v>
      </c>
      <c r="G288" s="10"/>
    </row>
    <row r="289" spans="1:7">
      <c r="A289" s="4">
        <v>286</v>
      </c>
      <c r="B289" s="5" t="s">
        <v>80</v>
      </c>
      <c r="C289" s="6" t="str">
        <f>"2020024306"</f>
        <v>2020024306</v>
      </c>
      <c r="D289" s="7">
        <v>74.2</v>
      </c>
      <c r="E289" s="8">
        <v>85</v>
      </c>
      <c r="F289" s="9">
        <f t="shared" si="4"/>
        <v>159.19999999999999</v>
      </c>
      <c r="G289" s="10"/>
    </row>
    <row r="290" spans="1:7">
      <c r="A290" s="4">
        <v>287</v>
      </c>
      <c r="B290" s="5" t="s">
        <v>80</v>
      </c>
      <c r="C290" s="6" t="str">
        <f>"2020041110"</f>
        <v>2020041110</v>
      </c>
      <c r="D290" s="7">
        <v>66.900000000000006</v>
      </c>
      <c r="E290" s="8">
        <v>62.5</v>
      </c>
      <c r="F290" s="9">
        <f t="shared" si="4"/>
        <v>129.4</v>
      </c>
      <c r="G290" s="10"/>
    </row>
    <row r="291" spans="1:7">
      <c r="A291" s="4">
        <v>288</v>
      </c>
      <c r="B291" s="5" t="s">
        <v>80</v>
      </c>
      <c r="C291" s="6" t="str">
        <f>"2020010509"</f>
        <v>2020010509</v>
      </c>
      <c r="D291" s="7">
        <v>68.5</v>
      </c>
      <c r="E291" s="8">
        <v>58.5</v>
      </c>
      <c r="F291" s="9">
        <f t="shared" si="4"/>
        <v>127</v>
      </c>
      <c r="G291" s="10"/>
    </row>
    <row r="292" spans="1:7">
      <c r="A292" s="4">
        <v>289</v>
      </c>
      <c r="B292" s="5" t="s">
        <v>80</v>
      </c>
      <c r="C292" s="6" t="str">
        <f>"2020044208"</f>
        <v>2020044208</v>
      </c>
      <c r="D292" s="7">
        <v>59.8</v>
      </c>
      <c r="E292" s="8">
        <v>66</v>
      </c>
      <c r="F292" s="9">
        <f t="shared" si="4"/>
        <v>125.8</v>
      </c>
      <c r="G292" s="10"/>
    </row>
    <row r="293" spans="1:7">
      <c r="A293" s="4">
        <v>290</v>
      </c>
      <c r="B293" s="5" t="s">
        <v>81</v>
      </c>
      <c r="C293" s="6" t="str">
        <f>"2020012611"</f>
        <v>2020012611</v>
      </c>
      <c r="D293" s="7">
        <v>64.5</v>
      </c>
      <c r="E293" s="8">
        <v>69</v>
      </c>
      <c r="F293" s="9">
        <f t="shared" si="4"/>
        <v>133.5</v>
      </c>
      <c r="G293" s="10"/>
    </row>
    <row r="294" spans="1:7">
      <c r="A294" s="4">
        <v>291</v>
      </c>
      <c r="B294" s="5" t="s">
        <v>81</v>
      </c>
      <c r="C294" s="6" t="str">
        <f>"2020033718"</f>
        <v>2020033718</v>
      </c>
      <c r="D294" s="7">
        <v>65</v>
      </c>
      <c r="E294" s="8">
        <v>68</v>
      </c>
      <c r="F294" s="9">
        <f t="shared" si="4"/>
        <v>133</v>
      </c>
      <c r="G294" s="10"/>
    </row>
    <row r="295" spans="1:7">
      <c r="A295" s="4">
        <v>292</v>
      </c>
      <c r="B295" s="5" t="s">
        <v>81</v>
      </c>
      <c r="C295" s="6" t="str">
        <f>"2020012803"</f>
        <v>2020012803</v>
      </c>
      <c r="D295" s="7">
        <v>65.2</v>
      </c>
      <c r="E295" s="8">
        <v>67</v>
      </c>
      <c r="F295" s="9">
        <f t="shared" si="4"/>
        <v>132.19999999999999</v>
      </c>
      <c r="G295" s="10"/>
    </row>
    <row r="296" spans="1:7">
      <c r="A296" s="4">
        <v>293</v>
      </c>
      <c r="B296" s="5" t="s">
        <v>81</v>
      </c>
      <c r="C296" s="6" t="str">
        <f>"2020033317"</f>
        <v>2020033317</v>
      </c>
      <c r="D296" s="7">
        <v>68.3</v>
      </c>
      <c r="E296" s="8">
        <v>63</v>
      </c>
      <c r="F296" s="9">
        <f t="shared" si="4"/>
        <v>131.30000000000001</v>
      </c>
      <c r="G296" s="10"/>
    </row>
    <row r="297" spans="1:7">
      <c r="A297" s="4">
        <v>294</v>
      </c>
      <c r="B297" s="5" t="s">
        <v>81</v>
      </c>
      <c r="C297" s="6" t="str">
        <f>"2020024713"</f>
        <v>2020024713</v>
      </c>
      <c r="D297" s="7">
        <v>68.900000000000006</v>
      </c>
      <c r="E297" s="8">
        <v>62</v>
      </c>
      <c r="F297" s="9">
        <f t="shared" si="4"/>
        <v>130.9</v>
      </c>
      <c r="G297" s="10"/>
    </row>
    <row r="298" spans="1:7">
      <c r="A298" s="4">
        <v>295</v>
      </c>
      <c r="B298" s="5" t="s">
        <v>81</v>
      </c>
      <c r="C298" s="6" t="str">
        <f>"2020024711"</f>
        <v>2020024711</v>
      </c>
      <c r="D298" s="7">
        <v>65.400000000000006</v>
      </c>
      <c r="E298" s="8">
        <v>64</v>
      </c>
      <c r="F298" s="9">
        <f t="shared" si="4"/>
        <v>129.4</v>
      </c>
      <c r="G298" s="10"/>
    </row>
    <row r="299" spans="1:7">
      <c r="A299" s="4">
        <v>296</v>
      </c>
      <c r="B299" s="5" t="s">
        <v>81</v>
      </c>
      <c r="C299" s="6" t="str">
        <f>"2020030415"</f>
        <v>2020030415</v>
      </c>
      <c r="D299" s="7">
        <v>63.3</v>
      </c>
      <c r="E299" s="8">
        <v>66</v>
      </c>
      <c r="F299" s="9">
        <f t="shared" si="4"/>
        <v>129.30000000000001</v>
      </c>
      <c r="G299" s="10"/>
    </row>
    <row r="300" spans="1:7">
      <c r="A300" s="4">
        <v>297</v>
      </c>
      <c r="B300" s="5" t="s">
        <v>81</v>
      </c>
      <c r="C300" s="6" t="str">
        <f>"2020012707"</f>
        <v>2020012707</v>
      </c>
      <c r="D300" s="7">
        <v>60.7</v>
      </c>
      <c r="E300" s="8">
        <v>68</v>
      </c>
      <c r="F300" s="9">
        <f t="shared" si="4"/>
        <v>128.69999999999999</v>
      </c>
      <c r="G300" s="10"/>
    </row>
    <row r="301" spans="1:7">
      <c r="A301" s="4">
        <v>298</v>
      </c>
      <c r="B301" s="5" t="s">
        <v>81</v>
      </c>
      <c r="C301" s="6" t="str">
        <f>"2020045518"</f>
        <v>2020045518</v>
      </c>
      <c r="D301" s="7">
        <v>69.5</v>
      </c>
      <c r="E301" s="8">
        <v>56</v>
      </c>
      <c r="F301" s="9">
        <f t="shared" si="4"/>
        <v>125.5</v>
      </c>
      <c r="G301" s="10"/>
    </row>
    <row r="302" spans="1:7">
      <c r="A302" s="4">
        <v>299</v>
      </c>
      <c r="B302" s="5" t="s">
        <v>82</v>
      </c>
      <c r="C302" s="6" t="str">
        <f>"2020021017"</f>
        <v>2020021017</v>
      </c>
      <c r="D302" s="7">
        <v>80.5</v>
      </c>
      <c r="E302" s="8">
        <v>79</v>
      </c>
      <c r="F302" s="9">
        <f t="shared" si="4"/>
        <v>159.5</v>
      </c>
      <c r="G302" s="10"/>
    </row>
    <row r="303" spans="1:7">
      <c r="A303" s="4">
        <v>300</v>
      </c>
      <c r="B303" s="5" t="s">
        <v>82</v>
      </c>
      <c r="C303" s="6" t="str">
        <f>"2020047515"</f>
        <v>2020047515</v>
      </c>
      <c r="D303" s="7">
        <v>74.8</v>
      </c>
      <c r="E303" s="8">
        <v>81.5</v>
      </c>
      <c r="F303" s="9">
        <f t="shared" si="4"/>
        <v>156.30000000000001</v>
      </c>
      <c r="G303" s="10"/>
    </row>
    <row r="304" spans="1:7">
      <c r="A304" s="4">
        <v>301</v>
      </c>
      <c r="B304" s="5" t="s">
        <v>82</v>
      </c>
      <c r="C304" s="6" t="str">
        <f>"2020031819"</f>
        <v>2020031819</v>
      </c>
      <c r="D304" s="7">
        <v>70.2</v>
      </c>
      <c r="E304" s="8">
        <v>82</v>
      </c>
      <c r="F304" s="9">
        <f t="shared" si="4"/>
        <v>152.19999999999999</v>
      </c>
      <c r="G304" s="10"/>
    </row>
    <row r="305" spans="1:7">
      <c r="A305" s="4">
        <v>302</v>
      </c>
      <c r="B305" s="5" t="s">
        <v>82</v>
      </c>
      <c r="C305" s="6" t="str">
        <f>"2020011001"</f>
        <v>2020011001</v>
      </c>
      <c r="D305" s="7">
        <v>68.099999999999994</v>
      </c>
      <c r="E305" s="8">
        <v>71.5</v>
      </c>
      <c r="F305" s="9">
        <f t="shared" si="4"/>
        <v>139.6</v>
      </c>
      <c r="G305" s="10"/>
    </row>
    <row r="306" spans="1:7">
      <c r="A306" s="4">
        <v>303</v>
      </c>
      <c r="B306" s="5" t="s">
        <v>82</v>
      </c>
      <c r="C306" s="6" t="str">
        <f>"2020012523"</f>
        <v>2020012523</v>
      </c>
      <c r="D306" s="7">
        <v>73.5</v>
      </c>
      <c r="E306" s="8">
        <v>65.5</v>
      </c>
      <c r="F306" s="9">
        <f t="shared" si="4"/>
        <v>139</v>
      </c>
      <c r="G306" s="10"/>
    </row>
    <row r="307" spans="1:7">
      <c r="A307" s="4">
        <v>304</v>
      </c>
      <c r="B307" s="5" t="s">
        <v>82</v>
      </c>
      <c r="C307" s="6" t="str">
        <f>"2020041226"</f>
        <v>2020041226</v>
      </c>
      <c r="D307" s="7">
        <v>66.2</v>
      </c>
      <c r="E307" s="8">
        <v>72.5</v>
      </c>
      <c r="F307" s="9">
        <f t="shared" si="4"/>
        <v>138.69999999999999</v>
      </c>
      <c r="G307" s="10"/>
    </row>
    <row r="308" spans="1:7">
      <c r="A308" s="4">
        <v>305</v>
      </c>
      <c r="B308" s="5" t="s">
        <v>83</v>
      </c>
      <c r="C308" s="6" t="str">
        <f>"2020041515"</f>
        <v>2020041515</v>
      </c>
      <c r="D308" s="7">
        <v>78.5</v>
      </c>
      <c r="E308" s="8">
        <v>74</v>
      </c>
      <c r="F308" s="9">
        <f t="shared" si="4"/>
        <v>152.5</v>
      </c>
      <c r="G308" s="10"/>
    </row>
    <row r="309" spans="1:7">
      <c r="A309" s="4">
        <v>306</v>
      </c>
      <c r="B309" s="5" t="s">
        <v>83</v>
      </c>
      <c r="C309" s="6" t="str">
        <f>"2020046706"</f>
        <v>2020046706</v>
      </c>
      <c r="D309" s="7">
        <v>73.400000000000006</v>
      </c>
      <c r="E309" s="8">
        <v>76</v>
      </c>
      <c r="F309" s="9">
        <f t="shared" si="4"/>
        <v>149.4</v>
      </c>
      <c r="G309" s="10"/>
    </row>
    <row r="310" spans="1:7">
      <c r="A310" s="4">
        <v>307</v>
      </c>
      <c r="B310" s="5" t="s">
        <v>83</v>
      </c>
      <c r="C310" s="6" t="str">
        <f>"2020024721"</f>
        <v>2020024721</v>
      </c>
      <c r="D310" s="7">
        <v>69</v>
      </c>
      <c r="E310" s="8">
        <v>79.5</v>
      </c>
      <c r="F310" s="9">
        <f t="shared" si="4"/>
        <v>148.5</v>
      </c>
      <c r="G310" s="10"/>
    </row>
    <row r="311" spans="1:7">
      <c r="A311" s="4">
        <v>308</v>
      </c>
      <c r="B311" s="5" t="s">
        <v>84</v>
      </c>
      <c r="C311" s="6" t="str">
        <f>"2020013817"</f>
        <v>2020013817</v>
      </c>
      <c r="D311" s="7">
        <v>75.400000000000006</v>
      </c>
      <c r="E311" s="8">
        <v>73.5</v>
      </c>
      <c r="F311" s="9">
        <f t="shared" si="4"/>
        <v>148.9</v>
      </c>
      <c r="G311" s="10"/>
    </row>
    <row r="312" spans="1:7">
      <c r="A312" s="4">
        <v>309</v>
      </c>
      <c r="B312" s="5" t="s">
        <v>84</v>
      </c>
      <c r="C312" s="6" t="str">
        <f>"2020024423"</f>
        <v>2020024423</v>
      </c>
      <c r="D312" s="7">
        <v>68.7</v>
      </c>
      <c r="E312" s="8">
        <v>78.5</v>
      </c>
      <c r="F312" s="9">
        <f t="shared" si="4"/>
        <v>147.19999999999999</v>
      </c>
      <c r="G312" s="10"/>
    </row>
    <row r="313" spans="1:7">
      <c r="A313" s="4">
        <v>310</v>
      </c>
      <c r="B313" s="5" t="s">
        <v>84</v>
      </c>
      <c r="C313" s="6" t="str">
        <f>"2020013821"</f>
        <v>2020013821</v>
      </c>
      <c r="D313" s="7">
        <v>68.5</v>
      </c>
      <c r="E313" s="8">
        <v>78</v>
      </c>
      <c r="F313" s="9">
        <f t="shared" si="4"/>
        <v>146.5</v>
      </c>
      <c r="G313" s="10"/>
    </row>
    <row r="314" spans="1:7">
      <c r="A314" s="4">
        <v>311</v>
      </c>
      <c r="B314" s="5" t="s">
        <v>85</v>
      </c>
      <c r="C314" s="6" t="str">
        <f>"2020040621"</f>
        <v>2020040621</v>
      </c>
      <c r="D314" s="7">
        <v>73.099999999999994</v>
      </c>
      <c r="E314" s="8">
        <v>60.5</v>
      </c>
      <c r="F314" s="9">
        <f t="shared" si="4"/>
        <v>133.6</v>
      </c>
      <c r="G314" s="10"/>
    </row>
    <row r="315" spans="1:7">
      <c r="A315" s="4">
        <v>312</v>
      </c>
      <c r="B315" s="5" t="s">
        <v>85</v>
      </c>
      <c r="C315" s="6" t="str">
        <f>"2020040508"</f>
        <v>2020040508</v>
      </c>
      <c r="D315" s="7">
        <v>69.900000000000006</v>
      </c>
      <c r="E315" s="8">
        <v>63.5</v>
      </c>
      <c r="F315" s="9">
        <f t="shared" si="4"/>
        <v>133.4</v>
      </c>
      <c r="G315" s="10"/>
    </row>
    <row r="316" spans="1:7">
      <c r="A316" s="4">
        <v>313</v>
      </c>
      <c r="B316" s="5" t="s">
        <v>85</v>
      </c>
      <c r="C316" s="6" t="str">
        <f>"2020010220"</f>
        <v>2020010220</v>
      </c>
      <c r="D316" s="7">
        <v>64.400000000000006</v>
      </c>
      <c r="E316" s="8">
        <v>62.5</v>
      </c>
      <c r="F316" s="9">
        <f t="shared" si="4"/>
        <v>126.9</v>
      </c>
      <c r="G316" s="10"/>
    </row>
    <row r="317" spans="1:7">
      <c r="A317" s="4">
        <v>314</v>
      </c>
      <c r="B317" s="5" t="s">
        <v>85</v>
      </c>
      <c r="C317" s="6" t="str">
        <f>"2020040328"</f>
        <v>2020040328</v>
      </c>
      <c r="D317" s="7">
        <v>62</v>
      </c>
      <c r="E317" s="8">
        <v>63</v>
      </c>
      <c r="F317" s="9">
        <f t="shared" si="4"/>
        <v>125</v>
      </c>
      <c r="G317" s="10"/>
    </row>
    <row r="318" spans="1:7">
      <c r="A318" s="4">
        <v>315</v>
      </c>
      <c r="B318" s="5" t="s">
        <v>85</v>
      </c>
      <c r="C318" s="6" t="str">
        <f>"2020046808"</f>
        <v>2020046808</v>
      </c>
      <c r="D318" s="7">
        <v>64.8</v>
      </c>
      <c r="E318" s="8">
        <v>58.5</v>
      </c>
      <c r="F318" s="9">
        <f t="shared" si="4"/>
        <v>123.3</v>
      </c>
      <c r="G318" s="10"/>
    </row>
    <row r="319" spans="1:7">
      <c r="A319" s="4">
        <v>316</v>
      </c>
      <c r="B319" s="5" t="s">
        <v>85</v>
      </c>
      <c r="C319" s="6" t="str">
        <f>"2020040623"</f>
        <v>2020040623</v>
      </c>
      <c r="D319" s="7">
        <v>54.1</v>
      </c>
      <c r="E319" s="8">
        <v>65.5</v>
      </c>
      <c r="F319" s="9">
        <f t="shared" si="4"/>
        <v>119.6</v>
      </c>
      <c r="G319" s="10"/>
    </row>
    <row r="320" spans="1:7">
      <c r="A320" s="4">
        <v>317</v>
      </c>
      <c r="B320" s="5" t="s">
        <v>86</v>
      </c>
      <c r="C320" s="6" t="str">
        <f>"2020010517"</f>
        <v>2020010517</v>
      </c>
      <c r="D320" s="7">
        <v>76.7</v>
      </c>
      <c r="E320" s="8">
        <v>83</v>
      </c>
      <c r="F320" s="9">
        <f t="shared" si="4"/>
        <v>159.69999999999999</v>
      </c>
      <c r="G320" s="10"/>
    </row>
    <row r="321" spans="1:7">
      <c r="A321" s="4">
        <v>318</v>
      </c>
      <c r="B321" s="5" t="s">
        <v>86</v>
      </c>
      <c r="C321" s="6" t="str">
        <f>"2020044226"</f>
        <v>2020044226</v>
      </c>
      <c r="D321" s="7">
        <v>75.3</v>
      </c>
      <c r="E321" s="8">
        <v>82</v>
      </c>
      <c r="F321" s="9">
        <f t="shared" si="4"/>
        <v>157.30000000000001</v>
      </c>
      <c r="G321" s="10"/>
    </row>
    <row r="322" spans="1:7">
      <c r="A322" s="4">
        <v>319</v>
      </c>
      <c r="B322" s="5" t="s">
        <v>86</v>
      </c>
      <c r="C322" s="6" t="str">
        <f>"2020045618"</f>
        <v>2020045618</v>
      </c>
      <c r="D322" s="7">
        <v>68</v>
      </c>
      <c r="E322" s="8">
        <v>85</v>
      </c>
      <c r="F322" s="9">
        <f t="shared" si="4"/>
        <v>153</v>
      </c>
      <c r="G322" s="10"/>
    </row>
    <row r="323" spans="1:7">
      <c r="A323" s="4">
        <v>320</v>
      </c>
      <c r="B323" s="5" t="s">
        <v>86</v>
      </c>
      <c r="C323" s="6" t="str">
        <f>"2020023620"</f>
        <v>2020023620</v>
      </c>
      <c r="D323" s="7">
        <v>68.5</v>
      </c>
      <c r="E323" s="8">
        <v>83</v>
      </c>
      <c r="F323" s="9">
        <f t="shared" si="4"/>
        <v>151.5</v>
      </c>
      <c r="G323" s="10"/>
    </row>
    <row r="324" spans="1:7">
      <c r="A324" s="4">
        <v>321</v>
      </c>
      <c r="B324" s="5" t="s">
        <v>86</v>
      </c>
      <c r="C324" s="6" t="str">
        <f>"2020013527"</f>
        <v>2020013527</v>
      </c>
      <c r="D324" s="7">
        <v>69.900000000000006</v>
      </c>
      <c r="E324" s="8">
        <v>81</v>
      </c>
      <c r="F324" s="9">
        <f t="shared" ref="F324:F387" si="5">SUM(D324:E324)</f>
        <v>150.9</v>
      </c>
      <c r="G324" s="10"/>
    </row>
    <row r="325" spans="1:7">
      <c r="A325" s="4">
        <v>322</v>
      </c>
      <c r="B325" s="5" t="s">
        <v>86</v>
      </c>
      <c r="C325" s="6" t="str">
        <f>"2020041311"</f>
        <v>2020041311</v>
      </c>
      <c r="D325" s="7">
        <v>76.3</v>
      </c>
      <c r="E325" s="8">
        <v>74.5</v>
      </c>
      <c r="F325" s="9">
        <f t="shared" si="5"/>
        <v>150.80000000000001</v>
      </c>
      <c r="G325" s="10"/>
    </row>
    <row r="326" spans="1:7">
      <c r="A326" s="4">
        <v>323</v>
      </c>
      <c r="B326" s="5" t="s">
        <v>87</v>
      </c>
      <c r="C326" s="6" t="str">
        <f>"2020013701"</f>
        <v>2020013701</v>
      </c>
      <c r="D326" s="7">
        <v>77.7</v>
      </c>
      <c r="E326" s="8">
        <v>84</v>
      </c>
      <c r="F326" s="9">
        <f t="shared" si="5"/>
        <v>161.69999999999999</v>
      </c>
      <c r="G326" s="10"/>
    </row>
    <row r="327" spans="1:7">
      <c r="A327" s="4">
        <v>324</v>
      </c>
      <c r="B327" s="5" t="s">
        <v>87</v>
      </c>
      <c r="C327" s="6" t="str">
        <f>"2020030725"</f>
        <v>2020030725</v>
      </c>
      <c r="D327" s="7">
        <v>77.8</v>
      </c>
      <c r="E327" s="8">
        <v>76</v>
      </c>
      <c r="F327" s="9">
        <f t="shared" si="5"/>
        <v>153.80000000000001</v>
      </c>
      <c r="G327" s="10"/>
    </row>
    <row r="328" spans="1:7">
      <c r="A328" s="4">
        <v>325</v>
      </c>
      <c r="B328" s="5" t="s">
        <v>87</v>
      </c>
      <c r="C328" s="6" t="str">
        <f>"2020024222"</f>
        <v>2020024222</v>
      </c>
      <c r="D328" s="7">
        <v>75.8</v>
      </c>
      <c r="E328" s="8">
        <v>76</v>
      </c>
      <c r="F328" s="9">
        <f t="shared" si="5"/>
        <v>151.80000000000001</v>
      </c>
      <c r="G328" s="10"/>
    </row>
    <row r="329" spans="1:7">
      <c r="A329" s="4">
        <v>326</v>
      </c>
      <c r="B329" s="5" t="s">
        <v>88</v>
      </c>
      <c r="C329" s="6" t="str">
        <f>"2020045825"</f>
        <v>2020045825</v>
      </c>
      <c r="D329" s="7">
        <v>83.3</v>
      </c>
      <c r="E329" s="8">
        <v>82</v>
      </c>
      <c r="F329" s="9">
        <f t="shared" si="5"/>
        <v>165.3</v>
      </c>
      <c r="G329" s="10"/>
    </row>
    <row r="330" spans="1:7">
      <c r="A330" s="4">
        <v>327</v>
      </c>
      <c r="B330" s="5" t="s">
        <v>88</v>
      </c>
      <c r="C330" s="6" t="str">
        <f>"2020031324"</f>
        <v>2020031324</v>
      </c>
      <c r="D330" s="7">
        <v>69.099999999999994</v>
      </c>
      <c r="E330" s="8">
        <v>73.5</v>
      </c>
      <c r="F330" s="9">
        <f t="shared" si="5"/>
        <v>142.6</v>
      </c>
      <c r="G330" s="10"/>
    </row>
    <row r="331" spans="1:7">
      <c r="A331" s="4">
        <v>328</v>
      </c>
      <c r="B331" s="5" t="s">
        <v>88</v>
      </c>
      <c r="C331" s="6" t="str">
        <f>"2020032207"</f>
        <v>2020032207</v>
      </c>
      <c r="D331" s="7">
        <v>71.400000000000006</v>
      </c>
      <c r="E331" s="8">
        <v>68</v>
      </c>
      <c r="F331" s="9">
        <f t="shared" si="5"/>
        <v>139.4</v>
      </c>
      <c r="G331" s="10"/>
    </row>
    <row r="332" spans="1:7">
      <c r="A332" s="4">
        <v>329</v>
      </c>
      <c r="B332" s="5" t="s">
        <v>89</v>
      </c>
      <c r="C332" s="6" t="str">
        <f>"2020046921"</f>
        <v>2020046921</v>
      </c>
      <c r="D332" s="7">
        <v>70.8</v>
      </c>
      <c r="E332" s="8">
        <v>66.5</v>
      </c>
      <c r="F332" s="9">
        <f t="shared" si="5"/>
        <v>137.30000000000001</v>
      </c>
      <c r="G332" s="10"/>
    </row>
    <row r="333" spans="1:7">
      <c r="A333" s="4">
        <v>330</v>
      </c>
      <c r="B333" s="5" t="s">
        <v>89</v>
      </c>
      <c r="C333" s="6" t="str">
        <f>"2020047525"</f>
        <v>2020047525</v>
      </c>
      <c r="D333" s="7">
        <v>74</v>
      </c>
      <c r="E333" s="8">
        <v>57</v>
      </c>
      <c r="F333" s="9">
        <f t="shared" si="5"/>
        <v>131</v>
      </c>
      <c r="G333" s="10"/>
    </row>
    <row r="334" spans="1:7">
      <c r="A334" s="4">
        <v>331</v>
      </c>
      <c r="B334" s="5" t="s">
        <v>89</v>
      </c>
      <c r="C334" s="6" t="str">
        <f>"2020020613"</f>
        <v>2020020613</v>
      </c>
      <c r="D334" s="7">
        <v>58.8</v>
      </c>
      <c r="E334" s="8">
        <v>72</v>
      </c>
      <c r="F334" s="9">
        <f t="shared" si="5"/>
        <v>130.80000000000001</v>
      </c>
      <c r="G334" s="10"/>
    </row>
    <row r="335" spans="1:7">
      <c r="A335" s="4">
        <v>332</v>
      </c>
      <c r="B335" s="5" t="s">
        <v>90</v>
      </c>
      <c r="C335" s="6" t="str">
        <f>"2020021901"</f>
        <v>2020021901</v>
      </c>
      <c r="D335" s="7">
        <v>68.7</v>
      </c>
      <c r="E335" s="8">
        <v>85.5</v>
      </c>
      <c r="F335" s="9">
        <f t="shared" si="5"/>
        <v>154.19999999999999</v>
      </c>
      <c r="G335" s="10"/>
    </row>
    <row r="336" spans="1:7">
      <c r="A336" s="4">
        <v>333</v>
      </c>
      <c r="B336" s="5" t="s">
        <v>90</v>
      </c>
      <c r="C336" s="6" t="str">
        <f>"2020020321"</f>
        <v>2020020321</v>
      </c>
      <c r="D336" s="7">
        <v>73</v>
      </c>
      <c r="E336" s="8">
        <v>80.5</v>
      </c>
      <c r="F336" s="9">
        <f t="shared" si="5"/>
        <v>153.5</v>
      </c>
      <c r="G336" s="10"/>
    </row>
    <row r="337" spans="1:7">
      <c r="A337" s="4">
        <v>334</v>
      </c>
      <c r="B337" s="5" t="s">
        <v>90</v>
      </c>
      <c r="C337" s="6" t="str">
        <f>"2020047401"</f>
        <v>2020047401</v>
      </c>
      <c r="D337" s="7">
        <v>74.2</v>
      </c>
      <c r="E337" s="8">
        <v>74</v>
      </c>
      <c r="F337" s="9">
        <f t="shared" si="5"/>
        <v>148.19999999999999</v>
      </c>
      <c r="G337" s="10"/>
    </row>
    <row r="338" spans="1:7">
      <c r="A338" s="4">
        <v>335</v>
      </c>
      <c r="B338" s="5" t="s">
        <v>91</v>
      </c>
      <c r="C338" s="6" t="str">
        <f>"2020022803"</f>
        <v>2020022803</v>
      </c>
      <c r="D338" s="7">
        <v>75.3</v>
      </c>
      <c r="E338" s="8">
        <v>70</v>
      </c>
      <c r="F338" s="9">
        <f t="shared" si="5"/>
        <v>145.30000000000001</v>
      </c>
      <c r="G338" s="10"/>
    </row>
    <row r="339" spans="1:7">
      <c r="A339" s="4">
        <v>336</v>
      </c>
      <c r="B339" s="5" t="s">
        <v>91</v>
      </c>
      <c r="C339" s="6" t="str">
        <f>"2020045530"</f>
        <v>2020045530</v>
      </c>
      <c r="D339" s="7">
        <v>66.900000000000006</v>
      </c>
      <c r="E339" s="8">
        <v>64.5</v>
      </c>
      <c r="F339" s="9">
        <f t="shared" si="5"/>
        <v>131.4</v>
      </c>
      <c r="G339" s="10"/>
    </row>
    <row r="340" spans="1:7">
      <c r="A340" s="4">
        <v>337</v>
      </c>
      <c r="B340" s="5" t="s">
        <v>91</v>
      </c>
      <c r="C340" s="6" t="str">
        <f>"2020030416"</f>
        <v>2020030416</v>
      </c>
      <c r="D340" s="7">
        <v>61.2</v>
      </c>
      <c r="E340" s="8">
        <v>62.5</v>
      </c>
      <c r="F340" s="9">
        <f t="shared" si="5"/>
        <v>123.7</v>
      </c>
      <c r="G340" s="10"/>
    </row>
    <row r="341" spans="1:7">
      <c r="A341" s="4">
        <v>338</v>
      </c>
      <c r="B341" s="5" t="s">
        <v>92</v>
      </c>
      <c r="C341" s="6" t="str">
        <f>"2020042120"</f>
        <v>2020042120</v>
      </c>
      <c r="D341" s="7">
        <v>67</v>
      </c>
      <c r="E341" s="8">
        <v>74</v>
      </c>
      <c r="F341" s="9">
        <f t="shared" si="5"/>
        <v>141</v>
      </c>
      <c r="G341" s="10"/>
    </row>
    <row r="342" spans="1:7">
      <c r="A342" s="4">
        <v>339</v>
      </c>
      <c r="B342" s="5" t="s">
        <v>92</v>
      </c>
      <c r="C342" s="6" t="str">
        <f>"2020043224"</f>
        <v>2020043224</v>
      </c>
      <c r="D342" s="7">
        <v>67.099999999999994</v>
      </c>
      <c r="E342" s="8">
        <v>65.5</v>
      </c>
      <c r="F342" s="9">
        <f t="shared" si="5"/>
        <v>132.6</v>
      </c>
      <c r="G342" s="10"/>
    </row>
    <row r="343" spans="1:7">
      <c r="A343" s="4">
        <v>340</v>
      </c>
      <c r="B343" s="5" t="s">
        <v>93</v>
      </c>
      <c r="C343" s="6" t="str">
        <f>"2020043115"</f>
        <v>2020043115</v>
      </c>
      <c r="D343" s="7">
        <v>68.5</v>
      </c>
      <c r="E343" s="8">
        <v>85.5</v>
      </c>
      <c r="F343" s="9">
        <f t="shared" si="5"/>
        <v>154</v>
      </c>
      <c r="G343" s="10"/>
    </row>
    <row r="344" spans="1:7">
      <c r="A344" s="4">
        <v>341</v>
      </c>
      <c r="B344" s="5" t="s">
        <v>93</v>
      </c>
      <c r="C344" s="6" t="str">
        <f>"2020011119"</f>
        <v>2020011119</v>
      </c>
      <c r="D344" s="7">
        <v>81.3</v>
      </c>
      <c r="E344" s="8">
        <v>69.5</v>
      </c>
      <c r="F344" s="9">
        <f t="shared" si="5"/>
        <v>150.80000000000001</v>
      </c>
      <c r="G344" s="10"/>
    </row>
    <row r="345" spans="1:7">
      <c r="A345" s="4">
        <v>342</v>
      </c>
      <c r="B345" s="5" t="s">
        <v>93</v>
      </c>
      <c r="C345" s="6" t="str">
        <f>"2020032930"</f>
        <v>2020032930</v>
      </c>
      <c r="D345" s="7">
        <v>72.5</v>
      </c>
      <c r="E345" s="8">
        <v>71.5</v>
      </c>
      <c r="F345" s="9">
        <f t="shared" si="5"/>
        <v>144</v>
      </c>
      <c r="G345" s="10"/>
    </row>
    <row r="346" spans="1:7">
      <c r="A346" s="4">
        <v>343</v>
      </c>
      <c r="B346" s="5" t="s">
        <v>94</v>
      </c>
      <c r="C346" s="6" t="str">
        <f>"2020030110"</f>
        <v>2020030110</v>
      </c>
      <c r="D346" s="7">
        <v>74.400000000000006</v>
      </c>
      <c r="E346" s="8">
        <v>76</v>
      </c>
      <c r="F346" s="9">
        <f t="shared" si="5"/>
        <v>150.4</v>
      </c>
      <c r="G346" s="10"/>
    </row>
    <row r="347" spans="1:7">
      <c r="A347" s="4">
        <v>344</v>
      </c>
      <c r="B347" s="5" t="s">
        <v>95</v>
      </c>
      <c r="C347" s="6" t="str">
        <f>"2020047318"</f>
        <v>2020047318</v>
      </c>
      <c r="D347" s="7">
        <v>81.3</v>
      </c>
      <c r="E347" s="8">
        <v>81.5</v>
      </c>
      <c r="F347" s="9">
        <f t="shared" si="5"/>
        <v>162.80000000000001</v>
      </c>
      <c r="G347" s="10"/>
    </row>
    <row r="348" spans="1:7">
      <c r="A348" s="4">
        <v>345</v>
      </c>
      <c r="B348" s="5" t="s">
        <v>95</v>
      </c>
      <c r="C348" s="6" t="str">
        <f>"2020040701"</f>
        <v>2020040701</v>
      </c>
      <c r="D348" s="7">
        <v>72.7</v>
      </c>
      <c r="E348" s="8">
        <v>76.5</v>
      </c>
      <c r="F348" s="9">
        <f t="shared" si="5"/>
        <v>149.19999999999999</v>
      </c>
      <c r="G348" s="10"/>
    </row>
    <row r="349" spans="1:7">
      <c r="A349" s="4">
        <v>346</v>
      </c>
      <c r="B349" s="5" t="s">
        <v>95</v>
      </c>
      <c r="C349" s="6" t="str">
        <f>"2020042102"</f>
        <v>2020042102</v>
      </c>
      <c r="D349" s="7">
        <v>71.8</v>
      </c>
      <c r="E349" s="8">
        <v>77</v>
      </c>
      <c r="F349" s="9">
        <f t="shared" si="5"/>
        <v>148.80000000000001</v>
      </c>
      <c r="G349" s="10"/>
    </row>
    <row r="350" spans="1:7">
      <c r="A350" s="4">
        <v>347</v>
      </c>
      <c r="B350" s="5" t="s">
        <v>95</v>
      </c>
      <c r="C350" s="6" t="str">
        <f>"2020011622"</f>
        <v>2020011622</v>
      </c>
      <c r="D350" s="7">
        <v>71.599999999999994</v>
      </c>
      <c r="E350" s="8">
        <v>74</v>
      </c>
      <c r="F350" s="9">
        <f t="shared" si="5"/>
        <v>145.6</v>
      </c>
      <c r="G350" s="10"/>
    </row>
    <row r="351" spans="1:7">
      <c r="A351" s="4">
        <v>348</v>
      </c>
      <c r="B351" s="5" t="s">
        <v>95</v>
      </c>
      <c r="C351" s="6" t="str">
        <f>"2020045416"</f>
        <v>2020045416</v>
      </c>
      <c r="D351" s="7">
        <v>74.599999999999994</v>
      </c>
      <c r="E351" s="8">
        <v>67</v>
      </c>
      <c r="F351" s="9">
        <f t="shared" si="5"/>
        <v>141.6</v>
      </c>
      <c r="G351" s="10"/>
    </row>
    <row r="352" spans="1:7">
      <c r="A352" s="4">
        <v>349</v>
      </c>
      <c r="B352" s="5" t="s">
        <v>95</v>
      </c>
      <c r="C352" s="6" t="str">
        <f>"2020046208"</f>
        <v>2020046208</v>
      </c>
      <c r="D352" s="7">
        <v>69.7</v>
      </c>
      <c r="E352" s="8">
        <v>70</v>
      </c>
      <c r="F352" s="9">
        <f t="shared" si="5"/>
        <v>139.69999999999999</v>
      </c>
      <c r="G352" s="10"/>
    </row>
    <row r="353" spans="1:7">
      <c r="A353" s="4">
        <v>350</v>
      </c>
      <c r="B353" s="5" t="s">
        <v>96</v>
      </c>
      <c r="C353" s="6" t="str">
        <f>"2020042921"</f>
        <v>2020042921</v>
      </c>
      <c r="D353" s="7">
        <v>76.7</v>
      </c>
      <c r="E353" s="8">
        <v>81.5</v>
      </c>
      <c r="F353" s="9">
        <f t="shared" si="5"/>
        <v>158.19999999999999</v>
      </c>
      <c r="G353" s="10"/>
    </row>
    <row r="354" spans="1:7">
      <c r="A354" s="4">
        <v>351</v>
      </c>
      <c r="B354" s="5" t="s">
        <v>96</v>
      </c>
      <c r="C354" s="6" t="str">
        <f>"2020032504"</f>
        <v>2020032504</v>
      </c>
      <c r="D354" s="7">
        <v>67.599999999999994</v>
      </c>
      <c r="E354" s="8">
        <v>67</v>
      </c>
      <c r="F354" s="9">
        <f t="shared" si="5"/>
        <v>134.6</v>
      </c>
      <c r="G354" s="10"/>
    </row>
    <row r="355" spans="1:7">
      <c r="A355" s="4">
        <v>352</v>
      </c>
      <c r="B355" s="5" t="s">
        <v>96</v>
      </c>
      <c r="C355" s="6" t="str">
        <f>"2020023826"</f>
        <v>2020023826</v>
      </c>
      <c r="D355" s="7">
        <v>65.2</v>
      </c>
      <c r="E355" s="8">
        <v>62</v>
      </c>
      <c r="F355" s="9">
        <f t="shared" si="5"/>
        <v>127.2</v>
      </c>
      <c r="G355" s="10"/>
    </row>
    <row r="356" spans="1:7">
      <c r="A356" s="4">
        <v>353</v>
      </c>
      <c r="B356" s="5" t="s">
        <v>97</v>
      </c>
      <c r="C356" s="6" t="str">
        <f>"2020040429"</f>
        <v>2020040429</v>
      </c>
      <c r="D356" s="7">
        <v>67.099999999999994</v>
      </c>
      <c r="E356" s="8">
        <v>81</v>
      </c>
      <c r="F356" s="9">
        <f t="shared" si="5"/>
        <v>148.1</v>
      </c>
      <c r="G356" s="10"/>
    </row>
    <row r="357" spans="1:7">
      <c r="A357" s="4">
        <v>354</v>
      </c>
      <c r="B357" s="5" t="s">
        <v>97</v>
      </c>
      <c r="C357" s="6" t="str">
        <f>"2020031604"</f>
        <v>2020031604</v>
      </c>
      <c r="D357" s="7">
        <v>64.2</v>
      </c>
      <c r="E357" s="8">
        <v>70.5</v>
      </c>
      <c r="F357" s="9">
        <f t="shared" si="5"/>
        <v>134.69999999999999</v>
      </c>
      <c r="G357" s="10"/>
    </row>
    <row r="358" spans="1:7">
      <c r="A358" s="4">
        <v>355</v>
      </c>
      <c r="B358" s="5" t="s">
        <v>97</v>
      </c>
      <c r="C358" s="6" t="str">
        <f>"2020031008"</f>
        <v>2020031008</v>
      </c>
      <c r="D358" s="7">
        <v>65</v>
      </c>
      <c r="E358" s="8">
        <v>68</v>
      </c>
      <c r="F358" s="9">
        <f t="shared" si="5"/>
        <v>133</v>
      </c>
      <c r="G358" s="10"/>
    </row>
    <row r="359" spans="1:7">
      <c r="A359" s="4">
        <v>356</v>
      </c>
      <c r="B359" s="5" t="s">
        <v>98</v>
      </c>
      <c r="C359" s="6" t="str">
        <f>"2020021206"</f>
        <v>2020021206</v>
      </c>
      <c r="D359" s="7">
        <v>79.7</v>
      </c>
      <c r="E359" s="8">
        <v>82.5</v>
      </c>
      <c r="F359" s="9">
        <f t="shared" si="5"/>
        <v>162.19999999999999</v>
      </c>
      <c r="G359" s="10"/>
    </row>
    <row r="360" spans="1:7">
      <c r="A360" s="4">
        <v>357</v>
      </c>
      <c r="B360" s="5" t="s">
        <v>98</v>
      </c>
      <c r="C360" s="6" t="str">
        <f>"2020033416"</f>
        <v>2020033416</v>
      </c>
      <c r="D360" s="7">
        <v>83.3</v>
      </c>
      <c r="E360" s="8">
        <v>77.5</v>
      </c>
      <c r="F360" s="9">
        <f t="shared" si="5"/>
        <v>160.80000000000001</v>
      </c>
      <c r="G360" s="10"/>
    </row>
    <row r="361" spans="1:7">
      <c r="A361" s="4">
        <v>358</v>
      </c>
      <c r="B361" s="5" t="s">
        <v>98</v>
      </c>
      <c r="C361" s="6" t="str">
        <f>"2020010219"</f>
        <v>2020010219</v>
      </c>
      <c r="D361" s="7">
        <v>76.2</v>
      </c>
      <c r="E361" s="8">
        <v>79</v>
      </c>
      <c r="F361" s="9">
        <f t="shared" si="5"/>
        <v>155.19999999999999</v>
      </c>
      <c r="G361" s="10"/>
    </row>
    <row r="362" spans="1:7">
      <c r="A362" s="4">
        <v>359</v>
      </c>
      <c r="B362" s="5" t="s">
        <v>99</v>
      </c>
      <c r="C362" s="6" t="str">
        <f>"2020011306"</f>
        <v>2020011306</v>
      </c>
      <c r="D362" s="7">
        <v>69.7</v>
      </c>
      <c r="E362" s="8">
        <v>85</v>
      </c>
      <c r="F362" s="9">
        <f t="shared" si="5"/>
        <v>154.69999999999999</v>
      </c>
      <c r="G362" s="10"/>
    </row>
    <row r="363" spans="1:7">
      <c r="A363" s="4">
        <v>360</v>
      </c>
      <c r="B363" s="5" t="s">
        <v>99</v>
      </c>
      <c r="C363" s="6" t="str">
        <f>"2020045628"</f>
        <v>2020045628</v>
      </c>
      <c r="D363" s="7">
        <v>69</v>
      </c>
      <c r="E363" s="8">
        <v>80.5</v>
      </c>
      <c r="F363" s="9">
        <f t="shared" si="5"/>
        <v>149.5</v>
      </c>
      <c r="G363" s="10"/>
    </row>
    <row r="364" spans="1:7">
      <c r="A364" s="4">
        <v>361</v>
      </c>
      <c r="B364" s="5" t="s">
        <v>99</v>
      </c>
      <c r="C364" s="6" t="str">
        <f>"2020013001"</f>
        <v>2020013001</v>
      </c>
      <c r="D364" s="7">
        <v>72</v>
      </c>
      <c r="E364" s="8">
        <v>77</v>
      </c>
      <c r="F364" s="9">
        <f t="shared" si="5"/>
        <v>149</v>
      </c>
      <c r="G364" s="10"/>
    </row>
    <row r="365" spans="1:7">
      <c r="A365" s="4">
        <v>362</v>
      </c>
      <c r="B365" s="5" t="s">
        <v>99</v>
      </c>
      <c r="C365" s="6" t="str">
        <f>"2020044101"</f>
        <v>2020044101</v>
      </c>
      <c r="D365" s="7">
        <v>71.7</v>
      </c>
      <c r="E365" s="8">
        <v>77</v>
      </c>
      <c r="F365" s="9">
        <f t="shared" si="5"/>
        <v>148.69999999999999</v>
      </c>
      <c r="G365" s="10"/>
    </row>
    <row r="366" spans="1:7">
      <c r="A366" s="4">
        <v>363</v>
      </c>
      <c r="B366" s="5" t="s">
        <v>99</v>
      </c>
      <c r="C366" s="6" t="str">
        <f>"2020046619"</f>
        <v>2020046619</v>
      </c>
      <c r="D366" s="7">
        <v>67.400000000000006</v>
      </c>
      <c r="E366" s="8">
        <v>81</v>
      </c>
      <c r="F366" s="9">
        <f t="shared" si="5"/>
        <v>148.4</v>
      </c>
      <c r="G366" s="10"/>
    </row>
    <row r="367" spans="1:7">
      <c r="A367" s="4">
        <v>364</v>
      </c>
      <c r="B367" s="5" t="s">
        <v>99</v>
      </c>
      <c r="C367" s="6" t="str">
        <f>"2020045801"</f>
        <v>2020045801</v>
      </c>
      <c r="D367" s="7">
        <v>71.900000000000006</v>
      </c>
      <c r="E367" s="8">
        <v>74</v>
      </c>
      <c r="F367" s="9">
        <f t="shared" si="5"/>
        <v>145.9</v>
      </c>
      <c r="G367" s="10"/>
    </row>
    <row r="368" spans="1:7">
      <c r="A368" s="4">
        <v>365</v>
      </c>
      <c r="B368" s="5" t="s">
        <v>99</v>
      </c>
      <c r="C368" s="6" t="str">
        <f>"2020024522"</f>
        <v>2020024522</v>
      </c>
      <c r="D368" s="7">
        <v>70.900000000000006</v>
      </c>
      <c r="E368" s="8">
        <v>75</v>
      </c>
      <c r="F368" s="9">
        <f t="shared" si="5"/>
        <v>145.9</v>
      </c>
      <c r="G368" s="10"/>
    </row>
    <row r="369" spans="1:7">
      <c r="A369" s="4">
        <v>366</v>
      </c>
      <c r="B369" s="5" t="s">
        <v>100</v>
      </c>
      <c r="C369" s="6" t="str">
        <f>"2020046404"</f>
        <v>2020046404</v>
      </c>
      <c r="D369" s="7">
        <v>72.2</v>
      </c>
      <c r="E369" s="8">
        <v>84</v>
      </c>
      <c r="F369" s="9">
        <f t="shared" si="5"/>
        <v>156.19999999999999</v>
      </c>
      <c r="G369" s="10"/>
    </row>
    <row r="370" spans="1:7">
      <c r="A370" s="4">
        <v>367</v>
      </c>
      <c r="B370" s="5" t="s">
        <v>100</v>
      </c>
      <c r="C370" s="6" t="str">
        <f>"2020040315"</f>
        <v>2020040315</v>
      </c>
      <c r="D370" s="7">
        <v>74.5</v>
      </c>
      <c r="E370" s="8">
        <v>79</v>
      </c>
      <c r="F370" s="9">
        <f t="shared" si="5"/>
        <v>153.5</v>
      </c>
      <c r="G370" s="10"/>
    </row>
    <row r="371" spans="1:7">
      <c r="A371" s="4">
        <v>368</v>
      </c>
      <c r="B371" s="5" t="s">
        <v>100</v>
      </c>
      <c r="C371" s="6" t="str">
        <f>"2020041822"</f>
        <v>2020041822</v>
      </c>
      <c r="D371" s="7">
        <v>77.8</v>
      </c>
      <c r="E371" s="8">
        <v>72.5</v>
      </c>
      <c r="F371" s="9">
        <f t="shared" si="5"/>
        <v>150.30000000000001</v>
      </c>
      <c r="G371" s="10"/>
    </row>
    <row r="372" spans="1:7">
      <c r="A372" s="4">
        <v>369</v>
      </c>
      <c r="B372" s="5" t="s">
        <v>101</v>
      </c>
      <c r="C372" s="6" t="str">
        <f>"2020031321"</f>
        <v>2020031321</v>
      </c>
      <c r="D372" s="7">
        <v>76.900000000000006</v>
      </c>
      <c r="E372" s="8">
        <v>78</v>
      </c>
      <c r="F372" s="9">
        <f t="shared" si="5"/>
        <v>154.9</v>
      </c>
      <c r="G372" s="10"/>
    </row>
    <row r="373" spans="1:7">
      <c r="A373" s="4">
        <v>370</v>
      </c>
      <c r="B373" s="5" t="s">
        <v>101</v>
      </c>
      <c r="C373" s="6" t="str">
        <f>"2020012603"</f>
        <v>2020012603</v>
      </c>
      <c r="D373" s="7">
        <v>73.900000000000006</v>
      </c>
      <c r="E373" s="8">
        <v>80</v>
      </c>
      <c r="F373" s="9">
        <f t="shared" si="5"/>
        <v>153.9</v>
      </c>
      <c r="G373" s="10"/>
    </row>
    <row r="374" spans="1:7">
      <c r="A374" s="4">
        <v>371</v>
      </c>
      <c r="B374" s="5" t="s">
        <v>101</v>
      </c>
      <c r="C374" s="6" t="str">
        <f>"2020033323"</f>
        <v>2020033323</v>
      </c>
      <c r="D374" s="7">
        <v>71.900000000000006</v>
      </c>
      <c r="E374" s="8">
        <v>81</v>
      </c>
      <c r="F374" s="9">
        <f t="shared" si="5"/>
        <v>152.9</v>
      </c>
      <c r="G374" s="10"/>
    </row>
    <row r="375" spans="1:7">
      <c r="A375" s="4">
        <v>372</v>
      </c>
      <c r="B375" s="5" t="s">
        <v>102</v>
      </c>
      <c r="C375" s="6" t="str">
        <f>"2020045927"</f>
        <v>2020045927</v>
      </c>
      <c r="D375" s="7">
        <v>67</v>
      </c>
      <c r="E375" s="8">
        <v>83.5</v>
      </c>
      <c r="F375" s="9">
        <f t="shared" si="5"/>
        <v>150.5</v>
      </c>
      <c r="G375" s="10"/>
    </row>
    <row r="376" spans="1:7">
      <c r="A376" s="4">
        <v>373</v>
      </c>
      <c r="B376" s="5" t="s">
        <v>102</v>
      </c>
      <c r="C376" s="6" t="str">
        <f>"2020042525"</f>
        <v>2020042525</v>
      </c>
      <c r="D376" s="7">
        <v>70.2</v>
      </c>
      <c r="E376" s="8">
        <v>77.5</v>
      </c>
      <c r="F376" s="9">
        <f t="shared" si="5"/>
        <v>147.69999999999999</v>
      </c>
      <c r="G376" s="10"/>
    </row>
    <row r="377" spans="1:7">
      <c r="A377" s="4">
        <v>374</v>
      </c>
      <c r="B377" s="5" t="s">
        <v>102</v>
      </c>
      <c r="C377" s="6" t="str">
        <f>"2020044313"</f>
        <v>2020044313</v>
      </c>
      <c r="D377" s="7">
        <v>74.3</v>
      </c>
      <c r="E377" s="8">
        <v>65.5</v>
      </c>
      <c r="F377" s="9">
        <f t="shared" si="5"/>
        <v>139.80000000000001</v>
      </c>
      <c r="G377" s="10"/>
    </row>
    <row r="378" spans="1:7">
      <c r="A378" s="4">
        <v>375</v>
      </c>
      <c r="B378" s="5" t="s">
        <v>103</v>
      </c>
      <c r="C378" s="6" t="str">
        <f>"2020041623"</f>
        <v>2020041623</v>
      </c>
      <c r="D378" s="7">
        <v>64.900000000000006</v>
      </c>
      <c r="E378" s="8">
        <v>84.5</v>
      </c>
      <c r="F378" s="9">
        <f t="shared" si="5"/>
        <v>149.4</v>
      </c>
      <c r="G378" s="10"/>
    </row>
    <row r="379" spans="1:7">
      <c r="A379" s="4">
        <v>376</v>
      </c>
      <c r="B379" s="5" t="s">
        <v>103</v>
      </c>
      <c r="C379" s="6" t="str">
        <f>"2020041310"</f>
        <v>2020041310</v>
      </c>
      <c r="D379" s="7">
        <v>73.8</v>
      </c>
      <c r="E379" s="8">
        <v>71.5</v>
      </c>
      <c r="F379" s="9">
        <f t="shared" si="5"/>
        <v>145.30000000000001</v>
      </c>
      <c r="G379" s="10"/>
    </row>
    <row r="380" spans="1:7">
      <c r="A380" s="4">
        <v>377</v>
      </c>
      <c r="B380" s="5" t="s">
        <v>103</v>
      </c>
      <c r="C380" s="6" t="str">
        <f>"2020020103"</f>
        <v>2020020103</v>
      </c>
      <c r="D380" s="7">
        <v>69.7</v>
      </c>
      <c r="E380" s="8">
        <v>75</v>
      </c>
      <c r="F380" s="9">
        <f t="shared" si="5"/>
        <v>144.69999999999999</v>
      </c>
      <c r="G380" s="10"/>
    </row>
    <row r="381" spans="1:7">
      <c r="A381" s="4">
        <v>378</v>
      </c>
      <c r="B381" s="5" t="s">
        <v>103</v>
      </c>
      <c r="C381" s="6" t="str">
        <f>"2020044607"</f>
        <v>2020044607</v>
      </c>
      <c r="D381" s="7">
        <v>77.099999999999994</v>
      </c>
      <c r="E381" s="8">
        <v>66.5</v>
      </c>
      <c r="F381" s="9">
        <f t="shared" si="5"/>
        <v>143.6</v>
      </c>
      <c r="G381" s="10"/>
    </row>
    <row r="382" spans="1:7">
      <c r="A382" s="4">
        <v>379</v>
      </c>
      <c r="B382" s="5" t="s">
        <v>103</v>
      </c>
      <c r="C382" s="6" t="str">
        <f>"2020041217"</f>
        <v>2020041217</v>
      </c>
      <c r="D382" s="7">
        <v>70.2</v>
      </c>
      <c r="E382" s="8">
        <v>72.5</v>
      </c>
      <c r="F382" s="9">
        <f t="shared" si="5"/>
        <v>142.69999999999999</v>
      </c>
      <c r="G382" s="10"/>
    </row>
    <row r="383" spans="1:7">
      <c r="A383" s="4">
        <v>380</v>
      </c>
      <c r="B383" s="5" t="s">
        <v>103</v>
      </c>
      <c r="C383" s="6" t="str">
        <f>"2020013205"</f>
        <v>2020013205</v>
      </c>
      <c r="D383" s="7">
        <v>76.5</v>
      </c>
      <c r="E383" s="8">
        <v>65.5</v>
      </c>
      <c r="F383" s="9">
        <f t="shared" si="5"/>
        <v>142</v>
      </c>
      <c r="G383" s="10"/>
    </row>
    <row r="384" spans="1:7">
      <c r="A384" s="4">
        <v>381</v>
      </c>
      <c r="B384" s="5" t="s">
        <v>104</v>
      </c>
      <c r="C384" s="6" t="str">
        <f>"2020033910"</f>
        <v>2020033910</v>
      </c>
      <c r="D384" s="7">
        <v>80.2</v>
      </c>
      <c r="E384" s="8">
        <v>85.5</v>
      </c>
      <c r="F384" s="9">
        <f t="shared" si="5"/>
        <v>165.7</v>
      </c>
      <c r="G384" s="10"/>
    </row>
    <row r="385" spans="1:7">
      <c r="A385" s="4">
        <v>382</v>
      </c>
      <c r="B385" s="5" t="s">
        <v>104</v>
      </c>
      <c r="C385" s="6" t="str">
        <f>"2020041714"</f>
        <v>2020041714</v>
      </c>
      <c r="D385" s="7">
        <v>71.5</v>
      </c>
      <c r="E385" s="8">
        <v>75</v>
      </c>
      <c r="F385" s="9">
        <f t="shared" si="5"/>
        <v>146.5</v>
      </c>
      <c r="G385" s="10"/>
    </row>
    <row r="386" spans="1:7">
      <c r="A386" s="4">
        <v>383</v>
      </c>
      <c r="B386" s="5" t="s">
        <v>104</v>
      </c>
      <c r="C386" s="6" t="str">
        <f>"2020046815"</f>
        <v>2020046815</v>
      </c>
      <c r="D386" s="7">
        <v>60.8</v>
      </c>
      <c r="E386" s="8">
        <v>79</v>
      </c>
      <c r="F386" s="9">
        <f t="shared" si="5"/>
        <v>139.80000000000001</v>
      </c>
      <c r="G386" s="10"/>
    </row>
    <row r="387" spans="1:7">
      <c r="A387" s="4">
        <v>384</v>
      </c>
      <c r="B387" s="5" t="s">
        <v>105</v>
      </c>
      <c r="C387" s="6" t="str">
        <f>"2020023506"</f>
        <v>2020023506</v>
      </c>
      <c r="D387" s="7">
        <v>65.5</v>
      </c>
      <c r="E387" s="8">
        <v>81.5</v>
      </c>
      <c r="F387" s="9">
        <f t="shared" si="5"/>
        <v>147</v>
      </c>
      <c r="G387" s="10"/>
    </row>
    <row r="388" spans="1:7">
      <c r="A388" s="4">
        <v>385</v>
      </c>
      <c r="B388" s="5" t="s">
        <v>105</v>
      </c>
      <c r="C388" s="6" t="str">
        <f>"2020031805"</f>
        <v>2020031805</v>
      </c>
      <c r="D388" s="7">
        <v>72</v>
      </c>
      <c r="E388" s="8">
        <v>72.5</v>
      </c>
      <c r="F388" s="9">
        <f t="shared" ref="F388:F403" si="6">SUM(D388:E388)</f>
        <v>144.5</v>
      </c>
      <c r="G388" s="10"/>
    </row>
    <row r="389" spans="1:7">
      <c r="A389" s="4">
        <v>386</v>
      </c>
      <c r="B389" s="5" t="s">
        <v>105</v>
      </c>
      <c r="C389" s="6" t="str">
        <f>"2020041018"</f>
        <v>2020041018</v>
      </c>
      <c r="D389" s="7">
        <v>71.900000000000006</v>
      </c>
      <c r="E389" s="8">
        <v>72.5</v>
      </c>
      <c r="F389" s="9">
        <f t="shared" si="6"/>
        <v>144.4</v>
      </c>
      <c r="G389" s="10"/>
    </row>
    <row r="390" spans="1:7">
      <c r="A390" s="4">
        <v>387</v>
      </c>
      <c r="B390" s="5" t="s">
        <v>106</v>
      </c>
      <c r="C390" s="6" t="str">
        <f>"2020047425"</f>
        <v>2020047425</v>
      </c>
      <c r="D390" s="7">
        <v>75.7</v>
      </c>
      <c r="E390" s="8">
        <v>84.5</v>
      </c>
      <c r="F390" s="9">
        <f t="shared" si="6"/>
        <v>160.19999999999999</v>
      </c>
      <c r="G390" s="10"/>
    </row>
    <row r="391" spans="1:7">
      <c r="A391" s="4">
        <v>388</v>
      </c>
      <c r="B391" s="5" t="s">
        <v>106</v>
      </c>
      <c r="C391" s="6" t="str">
        <f>"2020040828"</f>
        <v>2020040828</v>
      </c>
      <c r="D391" s="7">
        <v>75</v>
      </c>
      <c r="E391" s="8">
        <v>81.5</v>
      </c>
      <c r="F391" s="9">
        <f t="shared" si="6"/>
        <v>156.5</v>
      </c>
      <c r="G391" s="10"/>
    </row>
    <row r="392" spans="1:7">
      <c r="A392" s="4">
        <v>389</v>
      </c>
      <c r="B392" s="5" t="s">
        <v>106</v>
      </c>
      <c r="C392" s="6" t="str">
        <f>"2020012214"</f>
        <v>2020012214</v>
      </c>
      <c r="D392" s="7">
        <v>73.099999999999994</v>
      </c>
      <c r="E392" s="8">
        <v>78.5</v>
      </c>
      <c r="F392" s="9">
        <f t="shared" si="6"/>
        <v>151.6</v>
      </c>
      <c r="G392" s="10"/>
    </row>
    <row r="393" spans="1:7">
      <c r="A393" s="4">
        <v>390</v>
      </c>
      <c r="B393" s="5" t="s">
        <v>107</v>
      </c>
      <c r="C393" s="6" t="str">
        <f>"2020045124"</f>
        <v>2020045124</v>
      </c>
      <c r="D393" s="7">
        <v>74.8</v>
      </c>
      <c r="E393" s="8">
        <v>75.5</v>
      </c>
      <c r="F393" s="9">
        <f t="shared" si="6"/>
        <v>150.30000000000001</v>
      </c>
      <c r="G393" s="10"/>
    </row>
    <row r="394" spans="1:7">
      <c r="A394" s="4">
        <v>391</v>
      </c>
      <c r="B394" s="5" t="s">
        <v>107</v>
      </c>
      <c r="C394" s="6" t="str">
        <f>"2020045221"</f>
        <v>2020045221</v>
      </c>
      <c r="D394" s="7">
        <v>75.8</v>
      </c>
      <c r="E394" s="8">
        <v>74</v>
      </c>
      <c r="F394" s="9">
        <f t="shared" si="6"/>
        <v>149.80000000000001</v>
      </c>
      <c r="G394" s="10"/>
    </row>
    <row r="395" spans="1:7">
      <c r="A395" s="4">
        <v>392</v>
      </c>
      <c r="B395" s="5" t="s">
        <v>107</v>
      </c>
      <c r="C395" s="6" t="str">
        <f>"2020040313"</f>
        <v>2020040313</v>
      </c>
      <c r="D395" s="7">
        <v>73.3</v>
      </c>
      <c r="E395" s="8">
        <v>75.5</v>
      </c>
      <c r="F395" s="9">
        <f t="shared" si="6"/>
        <v>148.80000000000001</v>
      </c>
      <c r="G395" s="10"/>
    </row>
    <row r="396" spans="1:7">
      <c r="A396" s="4">
        <v>393</v>
      </c>
      <c r="B396" s="5" t="s">
        <v>108</v>
      </c>
      <c r="C396" s="6" t="str">
        <f>"2020044011"</f>
        <v>2020044011</v>
      </c>
      <c r="D396" s="7">
        <v>68.3</v>
      </c>
      <c r="E396" s="8">
        <v>63</v>
      </c>
      <c r="F396" s="9">
        <f t="shared" si="6"/>
        <v>131.30000000000001</v>
      </c>
      <c r="G396" s="10"/>
    </row>
    <row r="397" spans="1:7">
      <c r="A397" s="4">
        <v>394</v>
      </c>
      <c r="B397" s="5" t="s">
        <v>108</v>
      </c>
      <c r="C397" s="6" t="str">
        <f>"2020043902"</f>
        <v>2020043902</v>
      </c>
      <c r="D397" s="7">
        <v>63.3</v>
      </c>
      <c r="E397" s="8">
        <v>63.5</v>
      </c>
      <c r="F397" s="9">
        <f t="shared" si="6"/>
        <v>126.8</v>
      </c>
      <c r="G397" s="10"/>
    </row>
    <row r="398" spans="1:7">
      <c r="A398" s="4">
        <v>395</v>
      </c>
      <c r="B398" s="5" t="s">
        <v>109</v>
      </c>
      <c r="C398" s="6" t="str">
        <f>"2020042113"</f>
        <v>2020042113</v>
      </c>
      <c r="D398" s="7">
        <v>75.400000000000006</v>
      </c>
      <c r="E398" s="8">
        <v>84.5</v>
      </c>
      <c r="F398" s="9">
        <f t="shared" si="6"/>
        <v>159.9</v>
      </c>
      <c r="G398" s="10" t="s">
        <v>203</v>
      </c>
    </row>
    <row r="399" spans="1:7">
      <c r="A399" s="4">
        <v>396</v>
      </c>
      <c r="B399" s="5" t="s">
        <v>109</v>
      </c>
      <c r="C399" s="6" t="str">
        <f>"2020010529"</f>
        <v>2020010529</v>
      </c>
      <c r="D399" s="7">
        <v>78.599999999999994</v>
      </c>
      <c r="E399" s="8">
        <v>80</v>
      </c>
      <c r="F399" s="9">
        <f t="shared" si="6"/>
        <v>158.6</v>
      </c>
      <c r="G399" s="10"/>
    </row>
    <row r="400" spans="1:7">
      <c r="A400" s="4">
        <v>397</v>
      </c>
      <c r="B400" s="5" t="s">
        <v>109</v>
      </c>
      <c r="C400" s="6" t="str">
        <f>"2020047004"</f>
        <v>2020047004</v>
      </c>
      <c r="D400" s="7">
        <v>70.2</v>
      </c>
      <c r="E400" s="8">
        <v>72</v>
      </c>
      <c r="F400" s="9">
        <f t="shared" si="6"/>
        <v>142.19999999999999</v>
      </c>
      <c r="G400" s="10"/>
    </row>
    <row r="401" spans="1:7">
      <c r="A401" s="4">
        <v>398</v>
      </c>
      <c r="B401" s="5" t="s">
        <v>110</v>
      </c>
      <c r="C401" s="6" t="str">
        <f>"2020045325"</f>
        <v>2020045325</v>
      </c>
      <c r="D401" s="7">
        <v>62.6</v>
      </c>
      <c r="E401" s="8">
        <v>82.5</v>
      </c>
      <c r="F401" s="9">
        <f t="shared" si="6"/>
        <v>145.1</v>
      </c>
      <c r="G401" s="10"/>
    </row>
    <row r="402" spans="1:7">
      <c r="A402" s="4">
        <v>399</v>
      </c>
      <c r="B402" s="5" t="s">
        <v>110</v>
      </c>
      <c r="C402" s="6" t="str">
        <f>"2020045101"</f>
        <v>2020045101</v>
      </c>
      <c r="D402" s="7">
        <v>77.8</v>
      </c>
      <c r="E402" s="8">
        <v>67</v>
      </c>
      <c r="F402" s="9">
        <f t="shared" si="6"/>
        <v>144.80000000000001</v>
      </c>
      <c r="G402" s="10"/>
    </row>
    <row r="403" spans="1:7">
      <c r="A403" s="4">
        <v>400</v>
      </c>
      <c r="B403" s="5" t="s">
        <v>110</v>
      </c>
      <c r="C403" s="6" t="str">
        <f>"2020034008"</f>
        <v>2020034008</v>
      </c>
      <c r="D403" s="7">
        <v>71.900000000000006</v>
      </c>
      <c r="E403" s="8">
        <v>66.5</v>
      </c>
      <c r="F403" s="9">
        <f t="shared" si="6"/>
        <v>138.4</v>
      </c>
      <c r="G403" s="10"/>
    </row>
    <row r="404" spans="1:7">
      <c r="A404" s="4">
        <v>401</v>
      </c>
      <c r="B404" s="5" t="s">
        <v>111</v>
      </c>
      <c r="C404" s="6" t="str">
        <f>"2020044820"</f>
        <v>2020044820</v>
      </c>
      <c r="D404" s="7">
        <v>78.2</v>
      </c>
      <c r="E404" s="8">
        <v>74.5</v>
      </c>
      <c r="F404" s="9">
        <f t="shared" ref="F404:F406" si="7">SUM(D404:E404)</f>
        <v>152.69999999999999</v>
      </c>
      <c r="G404" s="10"/>
    </row>
    <row r="405" spans="1:7">
      <c r="A405" s="4">
        <v>402</v>
      </c>
      <c r="B405" s="5" t="s">
        <v>111</v>
      </c>
      <c r="C405" s="6" t="str">
        <f>"2020031404"</f>
        <v>2020031404</v>
      </c>
      <c r="D405" s="7">
        <v>77.5</v>
      </c>
      <c r="E405" s="8">
        <v>73</v>
      </c>
      <c r="F405" s="9">
        <f t="shared" si="7"/>
        <v>150.5</v>
      </c>
      <c r="G405" s="10"/>
    </row>
    <row r="406" spans="1:7">
      <c r="A406" s="4">
        <v>403</v>
      </c>
      <c r="B406" s="5" t="s">
        <v>111</v>
      </c>
      <c r="C406" s="6" t="str">
        <f>"2020040425"</f>
        <v>2020040425</v>
      </c>
      <c r="D406" s="7">
        <v>71.099999999999994</v>
      </c>
      <c r="E406" s="8">
        <v>73.5</v>
      </c>
      <c r="F406" s="9">
        <f t="shared" si="7"/>
        <v>144.6</v>
      </c>
      <c r="G406" s="10"/>
    </row>
    <row r="407" spans="1:7">
      <c r="A407" s="4">
        <v>404</v>
      </c>
      <c r="B407" s="5" t="s">
        <v>112</v>
      </c>
      <c r="C407" s="6" t="str">
        <f>"2020022027"</f>
        <v>2020022027</v>
      </c>
      <c r="D407" s="7">
        <v>71.8</v>
      </c>
      <c r="E407" s="8">
        <v>75.5</v>
      </c>
      <c r="F407" s="9">
        <f t="shared" ref="F407:F470" si="8">SUM(D407:E407)</f>
        <v>147.30000000000001</v>
      </c>
      <c r="G407" s="10"/>
    </row>
    <row r="408" spans="1:7">
      <c r="A408" s="4">
        <v>405</v>
      </c>
      <c r="B408" s="5" t="s">
        <v>112</v>
      </c>
      <c r="C408" s="6" t="str">
        <f>"2020043711"</f>
        <v>2020043711</v>
      </c>
      <c r="D408" s="7">
        <v>76.5</v>
      </c>
      <c r="E408" s="8">
        <v>69</v>
      </c>
      <c r="F408" s="9">
        <f t="shared" si="8"/>
        <v>145.5</v>
      </c>
      <c r="G408" s="10"/>
    </row>
    <row r="409" spans="1:7">
      <c r="A409" s="4">
        <v>406</v>
      </c>
      <c r="B409" s="5" t="s">
        <v>112</v>
      </c>
      <c r="C409" s="6" t="str">
        <f>"2020010927"</f>
        <v>2020010927</v>
      </c>
      <c r="D409" s="7">
        <v>72.5</v>
      </c>
      <c r="E409" s="8">
        <v>71</v>
      </c>
      <c r="F409" s="9">
        <f t="shared" si="8"/>
        <v>143.5</v>
      </c>
      <c r="G409" s="10"/>
    </row>
    <row r="410" spans="1:7">
      <c r="A410" s="4">
        <v>407</v>
      </c>
      <c r="B410" s="5" t="s">
        <v>112</v>
      </c>
      <c r="C410" s="6" t="str">
        <f>"2020020614"</f>
        <v>2020020614</v>
      </c>
      <c r="D410" s="7">
        <v>69.5</v>
      </c>
      <c r="E410" s="8">
        <v>74</v>
      </c>
      <c r="F410" s="9">
        <f t="shared" si="8"/>
        <v>143.5</v>
      </c>
      <c r="G410" s="10"/>
    </row>
    <row r="411" spans="1:7">
      <c r="A411" s="4">
        <v>408</v>
      </c>
      <c r="B411" s="5" t="s">
        <v>113</v>
      </c>
      <c r="C411" s="6" t="str">
        <f>"2020032309"</f>
        <v>2020032309</v>
      </c>
      <c r="D411" s="7">
        <v>79.900000000000006</v>
      </c>
      <c r="E411" s="8">
        <v>77</v>
      </c>
      <c r="F411" s="9">
        <f t="shared" si="8"/>
        <v>156.9</v>
      </c>
      <c r="G411" s="10"/>
    </row>
    <row r="412" spans="1:7">
      <c r="A412" s="4">
        <v>409</v>
      </c>
      <c r="B412" s="5" t="s">
        <v>113</v>
      </c>
      <c r="C412" s="6" t="str">
        <f>"2020011813"</f>
        <v>2020011813</v>
      </c>
      <c r="D412" s="7">
        <v>71.8</v>
      </c>
      <c r="E412" s="8">
        <v>73</v>
      </c>
      <c r="F412" s="9">
        <f t="shared" si="8"/>
        <v>144.80000000000001</v>
      </c>
      <c r="G412" s="10"/>
    </row>
    <row r="413" spans="1:7">
      <c r="A413" s="4">
        <v>410</v>
      </c>
      <c r="B413" s="5" t="s">
        <v>113</v>
      </c>
      <c r="C413" s="6" t="str">
        <f>"2020033002"</f>
        <v>2020033002</v>
      </c>
      <c r="D413" s="7">
        <v>59.1</v>
      </c>
      <c r="E413" s="8">
        <v>79</v>
      </c>
      <c r="F413" s="9">
        <f t="shared" si="8"/>
        <v>138.1</v>
      </c>
      <c r="G413" s="10"/>
    </row>
    <row r="414" spans="1:7">
      <c r="A414" s="4">
        <v>411</v>
      </c>
      <c r="B414" s="5" t="s">
        <v>114</v>
      </c>
      <c r="C414" s="6" t="str">
        <f>"2020020509"</f>
        <v>2020020509</v>
      </c>
      <c r="D414" s="7">
        <v>71.5</v>
      </c>
      <c r="E414" s="8">
        <v>88.5</v>
      </c>
      <c r="F414" s="9">
        <f t="shared" si="8"/>
        <v>160</v>
      </c>
      <c r="G414" s="10"/>
    </row>
    <row r="415" spans="1:7">
      <c r="A415" s="4">
        <v>412</v>
      </c>
      <c r="B415" s="5" t="s">
        <v>114</v>
      </c>
      <c r="C415" s="6" t="str">
        <f>"2020011718"</f>
        <v>2020011718</v>
      </c>
      <c r="D415" s="7">
        <v>68.900000000000006</v>
      </c>
      <c r="E415" s="8">
        <v>89.5</v>
      </c>
      <c r="F415" s="9">
        <f t="shared" si="8"/>
        <v>158.4</v>
      </c>
      <c r="G415" s="10"/>
    </row>
    <row r="416" spans="1:7">
      <c r="A416" s="4">
        <v>413</v>
      </c>
      <c r="B416" s="5" t="s">
        <v>114</v>
      </c>
      <c r="C416" s="6" t="str">
        <f>"2020013018"</f>
        <v>2020013018</v>
      </c>
      <c r="D416" s="7">
        <v>71</v>
      </c>
      <c r="E416" s="8">
        <v>83.5</v>
      </c>
      <c r="F416" s="9">
        <f t="shared" si="8"/>
        <v>154.5</v>
      </c>
      <c r="G416" s="10"/>
    </row>
    <row r="417" spans="1:7">
      <c r="A417" s="4">
        <v>414</v>
      </c>
      <c r="B417" s="5" t="s">
        <v>115</v>
      </c>
      <c r="C417" s="6" t="str">
        <f>"2020046415"</f>
        <v>2020046415</v>
      </c>
      <c r="D417" s="7">
        <v>79.3</v>
      </c>
      <c r="E417" s="8">
        <v>86</v>
      </c>
      <c r="F417" s="9">
        <f t="shared" si="8"/>
        <v>165.3</v>
      </c>
      <c r="G417" s="10"/>
    </row>
    <row r="418" spans="1:7">
      <c r="A418" s="4">
        <v>415</v>
      </c>
      <c r="B418" s="5" t="s">
        <v>115</v>
      </c>
      <c r="C418" s="6" t="str">
        <f>"2020041503"</f>
        <v>2020041503</v>
      </c>
      <c r="D418" s="7">
        <v>71.099999999999994</v>
      </c>
      <c r="E418" s="8">
        <v>84.5</v>
      </c>
      <c r="F418" s="9">
        <f t="shared" si="8"/>
        <v>155.6</v>
      </c>
      <c r="G418" s="10"/>
    </row>
    <row r="419" spans="1:7">
      <c r="A419" s="4">
        <v>416</v>
      </c>
      <c r="B419" s="5" t="s">
        <v>115</v>
      </c>
      <c r="C419" s="6" t="str">
        <f>"2020044128"</f>
        <v>2020044128</v>
      </c>
      <c r="D419" s="7">
        <v>74.599999999999994</v>
      </c>
      <c r="E419" s="8">
        <v>80</v>
      </c>
      <c r="F419" s="9">
        <f t="shared" si="8"/>
        <v>154.6</v>
      </c>
      <c r="G419" s="10"/>
    </row>
    <row r="420" spans="1:7">
      <c r="A420" s="4">
        <v>417</v>
      </c>
      <c r="B420" s="5" t="s">
        <v>116</v>
      </c>
      <c r="C420" s="6" t="str">
        <f>"2020020706"</f>
        <v>2020020706</v>
      </c>
      <c r="D420" s="7">
        <v>70.900000000000006</v>
      </c>
      <c r="E420" s="8">
        <v>63</v>
      </c>
      <c r="F420" s="9">
        <f t="shared" si="8"/>
        <v>133.9</v>
      </c>
      <c r="G420" s="10"/>
    </row>
    <row r="421" spans="1:7">
      <c r="A421" s="4">
        <v>418</v>
      </c>
      <c r="B421" s="5" t="s">
        <v>116</v>
      </c>
      <c r="C421" s="6" t="str">
        <f>"2020045713"</f>
        <v>2020045713</v>
      </c>
      <c r="D421" s="7">
        <v>61.9</v>
      </c>
      <c r="E421" s="8">
        <v>45</v>
      </c>
      <c r="F421" s="9">
        <f t="shared" si="8"/>
        <v>106.9</v>
      </c>
      <c r="G421" s="10"/>
    </row>
    <row r="422" spans="1:7">
      <c r="A422" s="4">
        <v>419</v>
      </c>
      <c r="B422" s="5" t="s">
        <v>117</v>
      </c>
      <c r="C422" s="6" t="str">
        <f>"2020040228"</f>
        <v>2020040228</v>
      </c>
      <c r="D422" s="7">
        <v>78.099999999999994</v>
      </c>
      <c r="E422" s="8">
        <v>71</v>
      </c>
      <c r="F422" s="9">
        <f t="shared" si="8"/>
        <v>149.1</v>
      </c>
      <c r="G422" s="10"/>
    </row>
    <row r="423" spans="1:7">
      <c r="A423" s="4">
        <v>420</v>
      </c>
      <c r="B423" s="5" t="s">
        <v>117</v>
      </c>
      <c r="C423" s="6" t="str">
        <f>"2020046112"</f>
        <v>2020046112</v>
      </c>
      <c r="D423" s="7">
        <v>67.8</v>
      </c>
      <c r="E423" s="8">
        <v>73.5</v>
      </c>
      <c r="F423" s="9">
        <f t="shared" si="8"/>
        <v>141.30000000000001</v>
      </c>
      <c r="G423" s="10"/>
    </row>
    <row r="424" spans="1:7">
      <c r="A424" s="4">
        <v>421</v>
      </c>
      <c r="B424" s="5" t="s">
        <v>117</v>
      </c>
      <c r="C424" s="6" t="str">
        <f>"2020022201"</f>
        <v>2020022201</v>
      </c>
      <c r="D424" s="7">
        <v>65.099999999999994</v>
      </c>
      <c r="E424" s="8">
        <v>70.5</v>
      </c>
      <c r="F424" s="9">
        <f t="shared" si="8"/>
        <v>135.6</v>
      </c>
      <c r="G424" s="10"/>
    </row>
    <row r="425" spans="1:7">
      <c r="A425" s="4">
        <v>422</v>
      </c>
      <c r="B425" s="5" t="s">
        <v>117</v>
      </c>
      <c r="C425" s="6" t="str">
        <f>"2020032124"</f>
        <v>2020032124</v>
      </c>
      <c r="D425" s="7">
        <v>59.6</v>
      </c>
      <c r="E425" s="8">
        <v>67.5</v>
      </c>
      <c r="F425" s="9">
        <f t="shared" si="8"/>
        <v>127.1</v>
      </c>
      <c r="G425" s="10"/>
    </row>
    <row r="426" spans="1:7">
      <c r="A426" s="4">
        <v>423</v>
      </c>
      <c r="B426" s="5" t="s">
        <v>118</v>
      </c>
      <c r="C426" s="6" t="str">
        <f>"2020030802"</f>
        <v>2020030802</v>
      </c>
      <c r="D426" s="7">
        <v>74.7</v>
      </c>
      <c r="E426" s="8">
        <v>65</v>
      </c>
      <c r="F426" s="9">
        <f t="shared" si="8"/>
        <v>139.69999999999999</v>
      </c>
      <c r="G426" s="10"/>
    </row>
    <row r="427" spans="1:7">
      <c r="A427" s="4">
        <v>424</v>
      </c>
      <c r="B427" s="5" t="s">
        <v>118</v>
      </c>
      <c r="C427" s="6" t="str">
        <f>"2020042207"</f>
        <v>2020042207</v>
      </c>
      <c r="D427" s="7">
        <v>63.6</v>
      </c>
      <c r="E427" s="8">
        <v>72</v>
      </c>
      <c r="F427" s="9">
        <f t="shared" si="8"/>
        <v>135.6</v>
      </c>
      <c r="G427" s="10"/>
    </row>
    <row r="428" spans="1:7">
      <c r="A428" s="4">
        <v>425</v>
      </c>
      <c r="B428" s="5" t="s">
        <v>118</v>
      </c>
      <c r="C428" s="6" t="str">
        <f>"2020011202"</f>
        <v>2020011202</v>
      </c>
      <c r="D428" s="7">
        <v>74.5</v>
      </c>
      <c r="E428" s="8">
        <v>58</v>
      </c>
      <c r="F428" s="9">
        <f t="shared" si="8"/>
        <v>132.5</v>
      </c>
      <c r="G428" s="10"/>
    </row>
    <row r="429" spans="1:7">
      <c r="A429" s="4">
        <v>426</v>
      </c>
      <c r="B429" s="5" t="s">
        <v>119</v>
      </c>
      <c r="C429" s="6" t="str">
        <f>"2020030803"</f>
        <v>2020030803</v>
      </c>
      <c r="D429" s="7">
        <v>67.2</v>
      </c>
      <c r="E429" s="8">
        <v>63</v>
      </c>
      <c r="F429" s="9">
        <f t="shared" si="8"/>
        <v>130.19999999999999</v>
      </c>
      <c r="G429" s="10"/>
    </row>
    <row r="430" spans="1:7">
      <c r="A430" s="4">
        <v>427</v>
      </c>
      <c r="B430" s="5" t="s">
        <v>119</v>
      </c>
      <c r="C430" s="6" t="str">
        <f>"2020023805"</f>
        <v>2020023805</v>
      </c>
      <c r="D430" s="7">
        <v>60.1</v>
      </c>
      <c r="E430" s="8">
        <v>51</v>
      </c>
      <c r="F430" s="9">
        <f t="shared" si="8"/>
        <v>111.1</v>
      </c>
      <c r="G430" s="10"/>
    </row>
    <row r="431" spans="1:7">
      <c r="A431" s="4">
        <v>428</v>
      </c>
      <c r="B431" s="5" t="s">
        <v>120</v>
      </c>
      <c r="C431" s="6" t="str">
        <f>"2020042216"</f>
        <v>2020042216</v>
      </c>
      <c r="D431" s="7">
        <v>74</v>
      </c>
      <c r="E431" s="8">
        <v>78.5</v>
      </c>
      <c r="F431" s="9">
        <f t="shared" si="8"/>
        <v>152.5</v>
      </c>
      <c r="G431" s="10"/>
    </row>
    <row r="432" spans="1:7">
      <c r="A432" s="4">
        <v>429</v>
      </c>
      <c r="B432" s="5" t="s">
        <v>120</v>
      </c>
      <c r="C432" s="6" t="str">
        <f>"2020012413"</f>
        <v>2020012413</v>
      </c>
      <c r="D432" s="7">
        <v>69.7</v>
      </c>
      <c r="E432" s="8">
        <v>77.5</v>
      </c>
      <c r="F432" s="9">
        <f t="shared" si="8"/>
        <v>147.19999999999999</v>
      </c>
      <c r="G432" s="10"/>
    </row>
    <row r="433" spans="1:7">
      <c r="A433" s="4">
        <v>430</v>
      </c>
      <c r="B433" s="5" t="s">
        <v>120</v>
      </c>
      <c r="C433" s="6" t="str">
        <f>"2020041517"</f>
        <v>2020041517</v>
      </c>
      <c r="D433" s="7">
        <v>75.599999999999994</v>
      </c>
      <c r="E433" s="8">
        <v>71.5</v>
      </c>
      <c r="F433" s="9">
        <f t="shared" si="8"/>
        <v>147.1</v>
      </c>
      <c r="G433" s="10"/>
    </row>
    <row r="434" spans="1:7">
      <c r="A434" s="4">
        <v>431</v>
      </c>
      <c r="B434" s="5" t="s">
        <v>121</v>
      </c>
      <c r="C434" s="6" t="str">
        <f>"2020044214"</f>
        <v>2020044214</v>
      </c>
      <c r="D434" s="7">
        <v>79.099999999999994</v>
      </c>
      <c r="E434" s="8">
        <v>83.5</v>
      </c>
      <c r="F434" s="9">
        <f t="shared" si="8"/>
        <v>162.6</v>
      </c>
      <c r="G434" s="10"/>
    </row>
    <row r="435" spans="1:7">
      <c r="A435" s="4">
        <v>432</v>
      </c>
      <c r="B435" s="5" t="s">
        <v>121</v>
      </c>
      <c r="C435" s="6" t="str">
        <f>"2020024418"</f>
        <v>2020024418</v>
      </c>
      <c r="D435" s="7">
        <v>79.3</v>
      </c>
      <c r="E435" s="8">
        <v>73</v>
      </c>
      <c r="F435" s="9">
        <f t="shared" si="8"/>
        <v>152.30000000000001</v>
      </c>
      <c r="G435" s="10"/>
    </row>
    <row r="436" spans="1:7">
      <c r="A436" s="4">
        <v>433</v>
      </c>
      <c r="B436" s="5" t="s">
        <v>121</v>
      </c>
      <c r="C436" s="6" t="str">
        <f>"2020013818"</f>
        <v>2020013818</v>
      </c>
      <c r="D436" s="7">
        <v>68</v>
      </c>
      <c r="E436" s="8">
        <v>81</v>
      </c>
      <c r="F436" s="9">
        <f t="shared" si="8"/>
        <v>149</v>
      </c>
      <c r="G436" s="10"/>
    </row>
    <row r="437" spans="1:7">
      <c r="A437" s="4">
        <v>434</v>
      </c>
      <c r="B437" s="5" t="s">
        <v>122</v>
      </c>
      <c r="C437" s="6" t="str">
        <f>"2020041323"</f>
        <v>2020041323</v>
      </c>
      <c r="D437" s="7">
        <v>82.3</v>
      </c>
      <c r="E437" s="8">
        <v>91</v>
      </c>
      <c r="F437" s="9">
        <f t="shared" si="8"/>
        <v>173.3</v>
      </c>
      <c r="G437" s="10"/>
    </row>
    <row r="438" spans="1:7">
      <c r="A438" s="4">
        <v>435</v>
      </c>
      <c r="B438" s="5" t="s">
        <v>122</v>
      </c>
      <c r="C438" s="6" t="str">
        <f>"2020020201"</f>
        <v>2020020201</v>
      </c>
      <c r="D438" s="7">
        <v>74.7</v>
      </c>
      <c r="E438" s="8">
        <v>80.5</v>
      </c>
      <c r="F438" s="9">
        <f t="shared" si="8"/>
        <v>155.19999999999999</v>
      </c>
      <c r="G438" s="10"/>
    </row>
    <row r="439" spans="1:7">
      <c r="A439" s="4">
        <v>436</v>
      </c>
      <c r="B439" s="5" t="s">
        <v>122</v>
      </c>
      <c r="C439" s="6" t="str">
        <f>"2020031002"</f>
        <v>2020031002</v>
      </c>
      <c r="D439" s="7">
        <v>77.099999999999994</v>
      </c>
      <c r="E439" s="8">
        <v>75.5</v>
      </c>
      <c r="F439" s="9">
        <f t="shared" si="8"/>
        <v>152.6</v>
      </c>
      <c r="G439" s="10"/>
    </row>
    <row r="440" spans="1:7">
      <c r="A440" s="4">
        <v>437</v>
      </c>
      <c r="B440" s="5" t="s">
        <v>123</v>
      </c>
      <c r="C440" s="6" t="str">
        <f>"2020046001"</f>
        <v>2020046001</v>
      </c>
      <c r="D440" s="7">
        <v>71.3</v>
      </c>
      <c r="E440" s="8">
        <v>66.5</v>
      </c>
      <c r="F440" s="9">
        <f t="shared" si="8"/>
        <v>137.80000000000001</v>
      </c>
      <c r="G440" s="10"/>
    </row>
    <row r="441" spans="1:7">
      <c r="A441" s="4">
        <v>438</v>
      </c>
      <c r="B441" s="5" t="s">
        <v>123</v>
      </c>
      <c r="C441" s="6" t="str">
        <f>"2020045615"</f>
        <v>2020045615</v>
      </c>
      <c r="D441" s="7">
        <v>63.4</v>
      </c>
      <c r="E441" s="8">
        <v>58</v>
      </c>
      <c r="F441" s="9">
        <f t="shared" si="8"/>
        <v>121.4</v>
      </c>
      <c r="G441" s="10"/>
    </row>
    <row r="442" spans="1:7">
      <c r="A442" s="4">
        <v>439</v>
      </c>
      <c r="B442" s="5" t="s">
        <v>123</v>
      </c>
      <c r="C442" s="6" t="str">
        <f>"2020020127"</f>
        <v>2020020127</v>
      </c>
      <c r="D442" s="7">
        <v>64.3</v>
      </c>
      <c r="E442" s="8">
        <v>56</v>
      </c>
      <c r="F442" s="9">
        <f t="shared" si="8"/>
        <v>120.3</v>
      </c>
      <c r="G442" s="10"/>
    </row>
    <row r="443" spans="1:7">
      <c r="A443" s="4">
        <v>440</v>
      </c>
      <c r="B443" s="5" t="s">
        <v>124</v>
      </c>
      <c r="C443" s="6" t="str">
        <f>"2020022812"</f>
        <v>2020022812</v>
      </c>
      <c r="D443" s="7">
        <v>71.5</v>
      </c>
      <c r="E443" s="8">
        <v>86</v>
      </c>
      <c r="F443" s="9">
        <f t="shared" si="8"/>
        <v>157.5</v>
      </c>
      <c r="G443" s="10"/>
    </row>
    <row r="444" spans="1:7">
      <c r="A444" s="4">
        <v>441</v>
      </c>
      <c r="B444" s="5" t="s">
        <v>124</v>
      </c>
      <c r="C444" s="6" t="str">
        <f>"2020023601"</f>
        <v>2020023601</v>
      </c>
      <c r="D444" s="7">
        <v>61.2</v>
      </c>
      <c r="E444" s="8">
        <v>68.5</v>
      </c>
      <c r="F444" s="9">
        <f t="shared" si="8"/>
        <v>129.69999999999999</v>
      </c>
      <c r="G444" s="10"/>
    </row>
    <row r="445" spans="1:7">
      <c r="A445" s="4">
        <v>442</v>
      </c>
      <c r="B445" s="5" t="s">
        <v>124</v>
      </c>
      <c r="C445" s="6" t="str">
        <f>"2020043813"</f>
        <v>2020043813</v>
      </c>
      <c r="D445" s="7">
        <v>53.7</v>
      </c>
      <c r="E445" s="8">
        <v>40.5</v>
      </c>
      <c r="F445" s="9">
        <f t="shared" si="8"/>
        <v>94.2</v>
      </c>
      <c r="G445" s="10"/>
    </row>
    <row r="446" spans="1:7">
      <c r="A446" s="4">
        <v>443</v>
      </c>
      <c r="B446" s="5" t="s">
        <v>125</v>
      </c>
      <c r="C446" s="6" t="str">
        <f>"2020014020"</f>
        <v>2020014020</v>
      </c>
      <c r="D446" s="7">
        <v>63.2</v>
      </c>
      <c r="E446" s="8">
        <v>62.5</v>
      </c>
      <c r="F446" s="9">
        <f t="shared" si="8"/>
        <v>125.7</v>
      </c>
      <c r="G446" s="10"/>
    </row>
    <row r="447" spans="1:7">
      <c r="A447" s="4">
        <v>444</v>
      </c>
      <c r="B447" s="5" t="s">
        <v>125</v>
      </c>
      <c r="C447" s="6" t="str">
        <f>"2020044312"</f>
        <v>2020044312</v>
      </c>
      <c r="D447" s="7">
        <v>61.4</v>
      </c>
      <c r="E447" s="8">
        <v>58.5</v>
      </c>
      <c r="F447" s="9">
        <f t="shared" si="8"/>
        <v>119.9</v>
      </c>
      <c r="G447" s="10"/>
    </row>
    <row r="448" spans="1:7">
      <c r="A448" s="4">
        <v>445</v>
      </c>
      <c r="B448" s="5" t="s">
        <v>125</v>
      </c>
      <c r="C448" s="6" t="str">
        <f>"2020046502"</f>
        <v>2020046502</v>
      </c>
      <c r="D448" s="7">
        <v>55.5</v>
      </c>
      <c r="E448" s="8">
        <v>58.5</v>
      </c>
      <c r="F448" s="9">
        <f t="shared" si="8"/>
        <v>114</v>
      </c>
      <c r="G448" s="10"/>
    </row>
    <row r="449" spans="1:7">
      <c r="A449" s="4">
        <v>446</v>
      </c>
      <c r="B449" s="5" t="s">
        <v>126</v>
      </c>
      <c r="C449" s="6" t="str">
        <f>"2020013630"</f>
        <v>2020013630</v>
      </c>
      <c r="D449" s="7">
        <v>75.2</v>
      </c>
      <c r="E449" s="8">
        <v>78.5</v>
      </c>
      <c r="F449" s="9">
        <f t="shared" si="8"/>
        <v>153.69999999999999</v>
      </c>
      <c r="G449" s="10"/>
    </row>
    <row r="450" spans="1:7">
      <c r="A450" s="4">
        <v>447</v>
      </c>
      <c r="B450" s="5" t="s">
        <v>126</v>
      </c>
      <c r="C450" s="6" t="str">
        <f>"2020011327"</f>
        <v>2020011327</v>
      </c>
      <c r="D450" s="7">
        <v>73.3</v>
      </c>
      <c r="E450" s="8">
        <v>78.5</v>
      </c>
      <c r="F450" s="9">
        <f t="shared" si="8"/>
        <v>151.80000000000001</v>
      </c>
      <c r="G450" s="10"/>
    </row>
    <row r="451" spans="1:7">
      <c r="A451" s="4">
        <v>448</v>
      </c>
      <c r="B451" s="5" t="s">
        <v>126</v>
      </c>
      <c r="C451" s="6" t="str">
        <f>"2020024008"</f>
        <v>2020024008</v>
      </c>
      <c r="D451" s="7">
        <v>78.099999999999994</v>
      </c>
      <c r="E451" s="8">
        <v>69.5</v>
      </c>
      <c r="F451" s="9">
        <f t="shared" si="8"/>
        <v>147.6</v>
      </c>
      <c r="G451" s="10"/>
    </row>
    <row r="452" spans="1:7">
      <c r="A452" s="4">
        <v>449</v>
      </c>
      <c r="B452" s="5" t="s">
        <v>127</v>
      </c>
      <c r="C452" s="6" t="str">
        <f>"2020031926"</f>
        <v>2020031926</v>
      </c>
      <c r="D452" s="7">
        <v>81.7</v>
      </c>
      <c r="E452" s="8">
        <v>74</v>
      </c>
      <c r="F452" s="9">
        <f t="shared" si="8"/>
        <v>155.69999999999999</v>
      </c>
      <c r="G452" s="10"/>
    </row>
    <row r="453" spans="1:7">
      <c r="A453" s="4">
        <v>450</v>
      </c>
      <c r="B453" s="5" t="s">
        <v>127</v>
      </c>
      <c r="C453" s="6" t="str">
        <f>"2020013625"</f>
        <v>2020013625</v>
      </c>
      <c r="D453" s="7">
        <v>76.3</v>
      </c>
      <c r="E453" s="8">
        <v>75.5</v>
      </c>
      <c r="F453" s="9">
        <f t="shared" si="8"/>
        <v>151.80000000000001</v>
      </c>
      <c r="G453" s="10"/>
    </row>
    <row r="454" spans="1:7">
      <c r="A454" s="4">
        <v>451</v>
      </c>
      <c r="B454" s="5" t="s">
        <v>127</v>
      </c>
      <c r="C454" s="6" t="str">
        <f>"2020021311"</f>
        <v>2020021311</v>
      </c>
      <c r="D454" s="7">
        <v>77.900000000000006</v>
      </c>
      <c r="E454" s="8">
        <v>70</v>
      </c>
      <c r="F454" s="9">
        <f t="shared" si="8"/>
        <v>147.9</v>
      </c>
      <c r="G454" s="10"/>
    </row>
    <row r="455" spans="1:7">
      <c r="A455" s="4">
        <v>452</v>
      </c>
      <c r="B455" s="5" t="s">
        <v>127</v>
      </c>
      <c r="C455" s="6" t="str">
        <f>"2020030915"</f>
        <v>2020030915</v>
      </c>
      <c r="D455" s="7">
        <v>75.099999999999994</v>
      </c>
      <c r="E455" s="8">
        <v>68.5</v>
      </c>
      <c r="F455" s="9">
        <f t="shared" si="8"/>
        <v>143.6</v>
      </c>
      <c r="G455" s="10"/>
    </row>
    <row r="456" spans="1:7">
      <c r="A456" s="4">
        <v>453</v>
      </c>
      <c r="B456" s="5" t="s">
        <v>127</v>
      </c>
      <c r="C456" s="6" t="str">
        <f>"2020046829"</f>
        <v>2020046829</v>
      </c>
      <c r="D456" s="7">
        <v>74.599999999999994</v>
      </c>
      <c r="E456" s="8">
        <v>69</v>
      </c>
      <c r="F456" s="9">
        <f t="shared" si="8"/>
        <v>143.6</v>
      </c>
      <c r="G456" s="10"/>
    </row>
    <row r="457" spans="1:7">
      <c r="A457" s="4">
        <v>454</v>
      </c>
      <c r="B457" s="5" t="s">
        <v>127</v>
      </c>
      <c r="C457" s="6" t="str">
        <f>"2020044826"</f>
        <v>2020044826</v>
      </c>
      <c r="D457" s="7">
        <v>71.5</v>
      </c>
      <c r="E457" s="8">
        <v>70.5</v>
      </c>
      <c r="F457" s="9">
        <f t="shared" si="8"/>
        <v>142</v>
      </c>
      <c r="G457" s="10"/>
    </row>
    <row r="458" spans="1:7">
      <c r="A458" s="4">
        <v>455</v>
      </c>
      <c r="B458" s="5" t="s">
        <v>127</v>
      </c>
      <c r="C458" s="6" t="str">
        <f>"2020032125"</f>
        <v>2020032125</v>
      </c>
      <c r="D458" s="7">
        <v>71.7</v>
      </c>
      <c r="E458" s="8">
        <v>67</v>
      </c>
      <c r="F458" s="9">
        <f t="shared" si="8"/>
        <v>138.69999999999999</v>
      </c>
      <c r="G458" s="10"/>
    </row>
    <row r="459" spans="1:7">
      <c r="A459" s="4">
        <v>456</v>
      </c>
      <c r="B459" s="5" t="s">
        <v>127</v>
      </c>
      <c r="C459" s="6" t="str">
        <f>"2020024612"</f>
        <v>2020024612</v>
      </c>
      <c r="D459" s="7">
        <v>69.400000000000006</v>
      </c>
      <c r="E459" s="8">
        <v>69</v>
      </c>
      <c r="F459" s="9">
        <f t="shared" si="8"/>
        <v>138.4</v>
      </c>
      <c r="G459" s="10"/>
    </row>
    <row r="460" spans="1:7">
      <c r="A460" s="4">
        <v>457</v>
      </c>
      <c r="B460" s="5" t="s">
        <v>127</v>
      </c>
      <c r="C460" s="6" t="str">
        <f>"2020022916"</f>
        <v>2020022916</v>
      </c>
      <c r="D460" s="7">
        <v>68.400000000000006</v>
      </c>
      <c r="E460" s="8">
        <v>70</v>
      </c>
      <c r="F460" s="9">
        <f t="shared" si="8"/>
        <v>138.4</v>
      </c>
      <c r="G460" s="10"/>
    </row>
    <row r="461" spans="1:7">
      <c r="A461" s="4">
        <v>458</v>
      </c>
      <c r="B461" s="5" t="s">
        <v>128</v>
      </c>
      <c r="C461" s="6" t="str">
        <f>"2020022729"</f>
        <v>2020022729</v>
      </c>
      <c r="D461" s="7">
        <v>72.599999999999994</v>
      </c>
      <c r="E461" s="8">
        <v>83</v>
      </c>
      <c r="F461" s="9">
        <f t="shared" si="8"/>
        <v>155.6</v>
      </c>
      <c r="G461" s="10"/>
    </row>
    <row r="462" spans="1:7">
      <c r="A462" s="4">
        <v>459</v>
      </c>
      <c r="B462" s="5" t="s">
        <v>128</v>
      </c>
      <c r="C462" s="6" t="str">
        <f>"2020043718"</f>
        <v>2020043718</v>
      </c>
      <c r="D462" s="7">
        <v>71.099999999999994</v>
      </c>
      <c r="E462" s="8">
        <v>80.5</v>
      </c>
      <c r="F462" s="9">
        <f t="shared" si="8"/>
        <v>151.6</v>
      </c>
      <c r="G462" s="10"/>
    </row>
    <row r="463" spans="1:7">
      <c r="A463" s="4">
        <v>460</v>
      </c>
      <c r="B463" s="5" t="s">
        <v>128</v>
      </c>
      <c r="C463" s="6" t="str">
        <f>"2020021617"</f>
        <v>2020021617</v>
      </c>
      <c r="D463" s="7">
        <v>72.8</v>
      </c>
      <c r="E463" s="8">
        <v>77</v>
      </c>
      <c r="F463" s="9">
        <f t="shared" si="8"/>
        <v>149.80000000000001</v>
      </c>
      <c r="G463" s="10"/>
    </row>
    <row r="464" spans="1:7">
      <c r="A464" s="4">
        <v>461</v>
      </c>
      <c r="B464" s="5" t="s">
        <v>129</v>
      </c>
      <c r="C464" s="6" t="str">
        <f>"2020041726"</f>
        <v>2020041726</v>
      </c>
      <c r="D464" s="7">
        <v>70.5</v>
      </c>
      <c r="E464" s="8">
        <v>84.5</v>
      </c>
      <c r="F464" s="9">
        <f t="shared" si="8"/>
        <v>155</v>
      </c>
      <c r="G464" s="10"/>
    </row>
    <row r="465" spans="1:7">
      <c r="A465" s="4">
        <v>462</v>
      </c>
      <c r="B465" s="5" t="s">
        <v>129</v>
      </c>
      <c r="C465" s="6" t="str">
        <f>"2020043324"</f>
        <v>2020043324</v>
      </c>
      <c r="D465" s="7">
        <v>82.1</v>
      </c>
      <c r="E465" s="8">
        <v>72.5</v>
      </c>
      <c r="F465" s="9">
        <f t="shared" si="8"/>
        <v>154.6</v>
      </c>
      <c r="G465" s="10"/>
    </row>
    <row r="466" spans="1:7">
      <c r="A466" s="4">
        <v>463</v>
      </c>
      <c r="B466" s="5" t="s">
        <v>129</v>
      </c>
      <c r="C466" s="6" t="str">
        <f>"2020042007"</f>
        <v>2020042007</v>
      </c>
      <c r="D466" s="7">
        <v>73.900000000000006</v>
      </c>
      <c r="E466" s="8">
        <v>79.5</v>
      </c>
      <c r="F466" s="9">
        <f t="shared" si="8"/>
        <v>153.4</v>
      </c>
      <c r="G466" s="10"/>
    </row>
    <row r="467" spans="1:7">
      <c r="A467" s="4">
        <v>464</v>
      </c>
      <c r="B467" s="5" t="s">
        <v>130</v>
      </c>
      <c r="C467" s="6" t="str">
        <f>"2020040127"</f>
        <v>2020040127</v>
      </c>
      <c r="D467" s="7">
        <v>76.5</v>
      </c>
      <c r="E467" s="8">
        <v>88.5</v>
      </c>
      <c r="F467" s="9">
        <f t="shared" si="8"/>
        <v>165</v>
      </c>
      <c r="G467" s="10"/>
    </row>
    <row r="468" spans="1:7">
      <c r="A468" s="4">
        <v>465</v>
      </c>
      <c r="B468" s="5" t="s">
        <v>130</v>
      </c>
      <c r="C468" s="6" t="str">
        <f>"2020044815"</f>
        <v>2020044815</v>
      </c>
      <c r="D468" s="7">
        <v>81.099999999999994</v>
      </c>
      <c r="E468" s="8">
        <v>83.5</v>
      </c>
      <c r="F468" s="9">
        <f t="shared" si="8"/>
        <v>164.6</v>
      </c>
      <c r="G468" s="10"/>
    </row>
    <row r="469" spans="1:7">
      <c r="A469" s="4">
        <v>466</v>
      </c>
      <c r="B469" s="5" t="s">
        <v>130</v>
      </c>
      <c r="C469" s="6" t="str">
        <f>"2020033417"</f>
        <v>2020033417</v>
      </c>
      <c r="D469" s="7">
        <v>79.7</v>
      </c>
      <c r="E469" s="8">
        <v>82.5</v>
      </c>
      <c r="F469" s="9">
        <f t="shared" si="8"/>
        <v>162.19999999999999</v>
      </c>
      <c r="G469" s="10"/>
    </row>
    <row r="470" spans="1:7">
      <c r="A470" s="4">
        <v>467</v>
      </c>
      <c r="B470" s="5" t="s">
        <v>130</v>
      </c>
      <c r="C470" s="6" t="str">
        <f>"2020040807"</f>
        <v>2020040807</v>
      </c>
      <c r="D470" s="7">
        <v>73.400000000000006</v>
      </c>
      <c r="E470" s="8">
        <v>87</v>
      </c>
      <c r="F470" s="9">
        <f t="shared" si="8"/>
        <v>160.4</v>
      </c>
      <c r="G470" s="10"/>
    </row>
    <row r="471" spans="1:7">
      <c r="A471" s="4">
        <v>468</v>
      </c>
      <c r="B471" s="5" t="s">
        <v>130</v>
      </c>
      <c r="C471" s="6" t="str">
        <f>"2020021615"</f>
        <v>2020021615</v>
      </c>
      <c r="D471" s="7">
        <v>75.5</v>
      </c>
      <c r="E471" s="8">
        <v>82.5</v>
      </c>
      <c r="F471" s="9">
        <f t="shared" ref="F471:F534" si="9">SUM(D471:E471)</f>
        <v>158</v>
      </c>
      <c r="G471" s="10"/>
    </row>
    <row r="472" spans="1:7">
      <c r="A472" s="4">
        <v>469</v>
      </c>
      <c r="B472" s="5" t="s">
        <v>130</v>
      </c>
      <c r="C472" s="6" t="str">
        <f>"2020013919"</f>
        <v>2020013919</v>
      </c>
      <c r="D472" s="7">
        <v>75.3</v>
      </c>
      <c r="E472" s="8">
        <v>80.5</v>
      </c>
      <c r="F472" s="9">
        <f t="shared" si="9"/>
        <v>155.80000000000001</v>
      </c>
      <c r="G472" s="10"/>
    </row>
    <row r="473" spans="1:7">
      <c r="A473" s="4">
        <v>470</v>
      </c>
      <c r="B473" s="5" t="s">
        <v>131</v>
      </c>
      <c r="C473" s="6" t="str">
        <f>"2020046620"</f>
        <v>2020046620</v>
      </c>
      <c r="D473" s="7">
        <v>76.099999999999994</v>
      </c>
      <c r="E473" s="8">
        <v>85</v>
      </c>
      <c r="F473" s="9">
        <f t="shared" si="9"/>
        <v>161.1</v>
      </c>
      <c r="G473" s="10"/>
    </row>
    <row r="474" spans="1:7">
      <c r="A474" s="4">
        <v>471</v>
      </c>
      <c r="B474" s="5" t="s">
        <v>131</v>
      </c>
      <c r="C474" s="6" t="str">
        <f>"2020030702"</f>
        <v>2020030702</v>
      </c>
      <c r="D474" s="7">
        <v>70.900000000000006</v>
      </c>
      <c r="E474" s="8">
        <v>87</v>
      </c>
      <c r="F474" s="9">
        <f t="shared" si="9"/>
        <v>157.9</v>
      </c>
      <c r="G474" s="10"/>
    </row>
    <row r="475" spans="1:7">
      <c r="A475" s="4">
        <v>472</v>
      </c>
      <c r="B475" s="5" t="s">
        <v>131</v>
      </c>
      <c r="C475" s="6" t="str">
        <f>"2020011012"</f>
        <v>2020011012</v>
      </c>
      <c r="D475" s="7">
        <v>75.900000000000006</v>
      </c>
      <c r="E475" s="8">
        <v>77.5</v>
      </c>
      <c r="F475" s="9">
        <f t="shared" si="9"/>
        <v>153.4</v>
      </c>
      <c r="G475" s="10"/>
    </row>
    <row r="476" spans="1:7">
      <c r="A476" s="4">
        <v>473</v>
      </c>
      <c r="B476" s="5" t="s">
        <v>131</v>
      </c>
      <c r="C476" s="6" t="str">
        <f>"2020047527"</f>
        <v>2020047527</v>
      </c>
      <c r="D476" s="7">
        <v>71.7</v>
      </c>
      <c r="E476" s="8">
        <v>80</v>
      </c>
      <c r="F476" s="9">
        <f t="shared" si="9"/>
        <v>151.69999999999999</v>
      </c>
      <c r="G476" s="10"/>
    </row>
    <row r="477" spans="1:7">
      <c r="A477" s="4">
        <v>474</v>
      </c>
      <c r="B477" s="5" t="s">
        <v>131</v>
      </c>
      <c r="C477" s="6" t="str">
        <f>"2020020720"</f>
        <v>2020020720</v>
      </c>
      <c r="D477" s="7">
        <v>72.599999999999994</v>
      </c>
      <c r="E477" s="8">
        <v>78</v>
      </c>
      <c r="F477" s="9">
        <f t="shared" si="9"/>
        <v>150.6</v>
      </c>
      <c r="G477" s="10"/>
    </row>
    <row r="478" spans="1:7">
      <c r="A478" s="4">
        <v>475</v>
      </c>
      <c r="B478" s="5" t="s">
        <v>131</v>
      </c>
      <c r="C478" s="6" t="str">
        <f>"2020011218"</f>
        <v>2020011218</v>
      </c>
      <c r="D478" s="7">
        <v>72.8</v>
      </c>
      <c r="E478" s="8">
        <v>77</v>
      </c>
      <c r="F478" s="9">
        <f t="shared" si="9"/>
        <v>149.80000000000001</v>
      </c>
      <c r="G478" s="10"/>
    </row>
    <row r="479" spans="1:7">
      <c r="A479" s="4">
        <v>476</v>
      </c>
      <c r="B479" s="5" t="s">
        <v>132</v>
      </c>
      <c r="C479" s="6" t="str">
        <f>"2020031221"</f>
        <v>2020031221</v>
      </c>
      <c r="D479" s="7">
        <v>81.5</v>
      </c>
      <c r="E479" s="8">
        <v>81.5</v>
      </c>
      <c r="F479" s="9">
        <f t="shared" si="9"/>
        <v>163</v>
      </c>
      <c r="G479" s="10"/>
    </row>
    <row r="480" spans="1:7">
      <c r="A480" s="4">
        <v>477</v>
      </c>
      <c r="B480" s="5" t="s">
        <v>132</v>
      </c>
      <c r="C480" s="6" t="str">
        <f>"2020024212"</f>
        <v>2020024212</v>
      </c>
      <c r="D480" s="7">
        <v>77.2</v>
      </c>
      <c r="E480" s="8">
        <v>81.5</v>
      </c>
      <c r="F480" s="9">
        <f t="shared" si="9"/>
        <v>158.69999999999999</v>
      </c>
      <c r="G480" s="10"/>
    </row>
    <row r="481" spans="1:7">
      <c r="A481" s="4">
        <v>478</v>
      </c>
      <c r="B481" s="5" t="s">
        <v>132</v>
      </c>
      <c r="C481" s="6" t="str">
        <f>"2020042828"</f>
        <v>2020042828</v>
      </c>
      <c r="D481" s="7">
        <v>67.5</v>
      </c>
      <c r="E481" s="8">
        <v>71</v>
      </c>
      <c r="F481" s="9">
        <f t="shared" si="9"/>
        <v>138.5</v>
      </c>
      <c r="G481" s="10"/>
    </row>
    <row r="482" spans="1:7">
      <c r="A482" s="4">
        <v>479</v>
      </c>
      <c r="B482" s="5" t="s">
        <v>133</v>
      </c>
      <c r="C482" s="6" t="str">
        <f>"2020010230"</f>
        <v>2020010230</v>
      </c>
      <c r="D482" s="7">
        <v>74.7</v>
      </c>
      <c r="E482" s="8">
        <v>75</v>
      </c>
      <c r="F482" s="9">
        <f t="shared" si="9"/>
        <v>149.69999999999999</v>
      </c>
      <c r="G482" s="10"/>
    </row>
    <row r="483" spans="1:7">
      <c r="A483" s="4">
        <v>480</v>
      </c>
      <c r="B483" s="5" t="s">
        <v>133</v>
      </c>
      <c r="C483" s="6" t="str">
        <f>"2020046526"</f>
        <v>2020046526</v>
      </c>
      <c r="D483" s="7">
        <v>68.3</v>
      </c>
      <c r="E483" s="8">
        <v>74.5</v>
      </c>
      <c r="F483" s="9">
        <f t="shared" si="9"/>
        <v>142.80000000000001</v>
      </c>
      <c r="G483" s="10"/>
    </row>
    <row r="484" spans="1:7">
      <c r="A484" s="4">
        <v>481</v>
      </c>
      <c r="B484" s="5" t="s">
        <v>133</v>
      </c>
      <c r="C484" s="6" t="str">
        <f>"2020041008"</f>
        <v>2020041008</v>
      </c>
      <c r="D484" s="7">
        <v>68.099999999999994</v>
      </c>
      <c r="E484" s="8">
        <v>74</v>
      </c>
      <c r="F484" s="9">
        <f t="shared" si="9"/>
        <v>142.1</v>
      </c>
      <c r="G484" s="10"/>
    </row>
    <row r="485" spans="1:7">
      <c r="A485" s="4">
        <v>482</v>
      </c>
      <c r="B485" s="5" t="s">
        <v>134</v>
      </c>
      <c r="C485" s="6" t="str">
        <f>"2020047227"</f>
        <v>2020047227</v>
      </c>
      <c r="D485" s="7">
        <v>76.5</v>
      </c>
      <c r="E485" s="8">
        <v>78.5</v>
      </c>
      <c r="F485" s="9">
        <f t="shared" si="9"/>
        <v>155</v>
      </c>
      <c r="G485" s="10"/>
    </row>
    <row r="486" spans="1:7">
      <c r="A486" s="4">
        <v>483</v>
      </c>
      <c r="B486" s="5" t="s">
        <v>134</v>
      </c>
      <c r="C486" s="6" t="str">
        <f>"2020047202"</f>
        <v>2020047202</v>
      </c>
      <c r="D486" s="7">
        <v>75.099999999999994</v>
      </c>
      <c r="E486" s="8">
        <v>77</v>
      </c>
      <c r="F486" s="9">
        <f t="shared" si="9"/>
        <v>152.1</v>
      </c>
      <c r="G486" s="10"/>
    </row>
    <row r="487" spans="1:7">
      <c r="A487" s="4">
        <v>484</v>
      </c>
      <c r="B487" s="5" t="s">
        <v>134</v>
      </c>
      <c r="C487" s="6" t="str">
        <f>"2020022514"</f>
        <v>2020022514</v>
      </c>
      <c r="D487" s="7">
        <v>71.599999999999994</v>
      </c>
      <c r="E487" s="8">
        <v>79.5</v>
      </c>
      <c r="F487" s="9">
        <f t="shared" si="9"/>
        <v>151.1</v>
      </c>
      <c r="G487" s="10"/>
    </row>
    <row r="488" spans="1:7">
      <c r="A488" s="4">
        <v>485</v>
      </c>
      <c r="B488" s="5" t="s">
        <v>135</v>
      </c>
      <c r="C488" s="6" t="str">
        <f>"2020043411"</f>
        <v>2020043411</v>
      </c>
      <c r="D488" s="7">
        <v>69.099999999999994</v>
      </c>
      <c r="E488" s="8">
        <v>84.5</v>
      </c>
      <c r="F488" s="9">
        <f t="shared" si="9"/>
        <v>153.6</v>
      </c>
      <c r="G488" s="10"/>
    </row>
    <row r="489" spans="1:7">
      <c r="A489" s="4">
        <v>486</v>
      </c>
      <c r="B489" s="5" t="s">
        <v>135</v>
      </c>
      <c r="C489" s="6" t="str">
        <f>"2020011110"</f>
        <v>2020011110</v>
      </c>
      <c r="D489" s="7">
        <v>73.099999999999994</v>
      </c>
      <c r="E489" s="8">
        <v>76</v>
      </c>
      <c r="F489" s="9">
        <f t="shared" si="9"/>
        <v>149.1</v>
      </c>
      <c r="G489" s="10"/>
    </row>
    <row r="490" spans="1:7">
      <c r="A490" s="4">
        <v>487</v>
      </c>
      <c r="B490" s="5" t="s">
        <v>135</v>
      </c>
      <c r="C490" s="6" t="str">
        <f>"2020021201"</f>
        <v>2020021201</v>
      </c>
      <c r="D490" s="7">
        <v>66.099999999999994</v>
      </c>
      <c r="E490" s="8">
        <v>80.5</v>
      </c>
      <c r="F490" s="9">
        <f t="shared" si="9"/>
        <v>146.6</v>
      </c>
      <c r="G490" s="10"/>
    </row>
    <row r="491" spans="1:7">
      <c r="A491" s="4">
        <v>488</v>
      </c>
      <c r="B491" s="5" t="s">
        <v>136</v>
      </c>
      <c r="C491" s="6" t="str">
        <f>"2020044113"</f>
        <v>2020044113</v>
      </c>
      <c r="D491" s="7">
        <v>69.7</v>
      </c>
      <c r="E491" s="8">
        <v>75.5</v>
      </c>
      <c r="F491" s="9">
        <f t="shared" si="9"/>
        <v>145.19999999999999</v>
      </c>
      <c r="G491" s="10"/>
    </row>
    <row r="492" spans="1:7">
      <c r="A492" s="4">
        <v>489</v>
      </c>
      <c r="B492" s="5" t="s">
        <v>136</v>
      </c>
      <c r="C492" s="6" t="str">
        <f>"2020033314"</f>
        <v>2020033314</v>
      </c>
      <c r="D492" s="7">
        <v>72</v>
      </c>
      <c r="E492" s="8">
        <v>71</v>
      </c>
      <c r="F492" s="9">
        <f t="shared" si="9"/>
        <v>143</v>
      </c>
      <c r="G492" s="10"/>
    </row>
    <row r="493" spans="1:7">
      <c r="A493" s="4">
        <v>490</v>
      </c>
      <c r="B493" s="5" t="s">
        <v>136</v>
      </c>
      <c r="C493" s="6" t="str">
        <f>"2020013726"</f>
        <v>2020013726</v>
      </c>
      <c r="D493" s="7">
        <v>67</v>
      </c>
      <c r="E493" s="8">
        <v>73</v>
      </c>
      <c r="F493" s="9">
        <f t="shared" si="9"/>
        <v>140</v>
      </c>
      <c r="G493" s="10"/>
    </row>
    <row r="494" spans="1:7">
      <c r="A494" s="4">
        <v>491</v>
      </c>
      <c r="B494" s="5" t="s">
        <v>137</v>
      </c>
      <c r="C494" s="6" t="str">
        <f>"2020020829"</f>
        <v>2020020829</v>
      </c>
      <c r="D494" s="7">
        <v>82.5</v>
      </c>
      <c r="E494" s="8">
        <v>79</v>
      </c>
      <c r="F494" s="9">
        <f t="shared" si="9"/>
        <v>161.5</v>
      </c>
      <c r="G494" s="10"/>
    </row>
    <row r="495" spans="1:7">
      <c r="A495" s="4">
        <v>492</v>
      </c>
      <c r="B495" s="5" t="s">
        <v>137</v>
      </c>
      <c r="C495" s="6" t="str">
        <f>"2020030908"</f>
        <v>2020030908</v>
      </c>
      <c r="D495" s="7">
        <v>72</v>
      </c>
      <c r="E495" s="8">
        <v>85.5</v>
      </c>
      <c r="F495" s="9">
        <f t="shared" si="9"/>
        <v>157.5</v>
      </c>
      <c r="G495" s="10"/>
    </row>
    <row r="496" spans="1:7">
      <c r="A496" s="4">
        <v>493</v>
      </c>
      <c r="B496" s="5" t="s">
        <v>137</v>
      </c>
      <c r="C496" s="6" t="str">
        <f>"2020030230"</f>
        <v>2020030230</v>
      </c>
      <c r="D496" s="7">
        <v>79.3</v>
      </c>
      <c r="E496" s="8">
        <v>78</v>
      </c>
      <c r="F496" s="9">
        <f t="shared" si="9"/>
        <v>157.30000000000001</v>
      </c>
      <c r="G496" s="10"/>
    </row>
    <row r="497" spans="1:7">
      <c r="A497" s="4">
        <v>494</v>
      </c>
      <c r="B497" s="5" t="s">
        <v>138</v>
      </c>
      <c r="C497" s="6" t="str">
        <f>"2020034022"</f>
        <v>2020034022</v>
      </c>
      <c r="D497" s="7">
        <v>74.5</v>
      </c>
      <c r="E497" s="8">
        <v>77</v>
      </c>
      <c r="F497" s="9">
        <f t="shared" si="9"/>
        <v>151.5</v>
      </c>
      <c r="G497" s="10"/>
    </row>
    <row r="498" spans="1:7">
      <c r="A498" s="4">
        <v>495</v>
      </c>
      <c r="B498" s="5" t="s">
        <v>138</v>
      </c>
      <c r="C498" s="6" t="str">
        <f>"2020032808"</f>
        <v>2020032808</v>
      </c>
      <c r="D498" s="7">
        <v>79</v>
      </c>
      <c r="E498" s="8">
        <v>70</v>
      </c>
      <c r="F498" s="9">
        <f t="shared" si="9"/>
        <v>149</v>
      </c>
      <c r="G498" s="10"/>
    </row>
    <row r="499" spans="1:7">
      <c r="A499" s="4">
        <v>496</v>
      </c>
      <c r="B499" s="5" t="s">
        <v>138</v>
      </c>
      <c r="C499" s="6" t="str">
        <f>"2020023419"</f>
        <v>2020023419</v>
      </c>
      <c r="D499" s="7">
        <v>70.3</v>
      </c>
      <c r="E499" s="8">
        <v>78.5</v>
      </c>
      <c r="F499" s="9">
        <f t="shared" si="9"/>
        <v>148.80000000000001</v>
      </c>
      <c r="G499" s="10"/>
    </row>
    <row r="500" spans="1:7">
      <c r="A500" s="4">
        <v>497</v>
      </c>
      <c r="B500" s="5" t="s">
        <v>138</v>
      </c>
      <c r="C500" s="6" t="str">
        <f>"2020012804"</f>
        <v>2020012804</v>
      </c>
      <c r="D500" s="7">
        <v>73.099999999999994</v>
      </c>
      <c r="E500" s="8">
        <v>75</v>
      </c>
      <c r="F500" s="9">
        <f t="shared" si="9"/>
        <v>148.1</v>
      </c>
      <c r="G500" s="10"/>
    </row>
    <row r="501" spans="1:7">
      <c r="A501" s="4">
        <v>498</v>
      </c>
      <c r="B501" s="5" t="s">
        <v>138</v>
      </c>
      <c r="C501" s="6" t="str">
        <f>"2020047205"</f>
        <v>2020047205</v>
      </c>
      <c r="D501" s="7">
        <v>71.3</v>
      </c>
      <c r="E501" s="8">
        <v>76.5</v>
      </c>
      <c r="F501" s="9">
        <f t="shared" si="9"/>
        <v>147.80000000000001</v>
      </c>
      <c r="G501" s="10"/>
    </row>
    <row r="502" spans="1:7">
      <c r="A502" s="4">
        <v>499</v>
      </c>
      <c r="B502" s="5" t="s">
        <v>138</v>
      </c>
      <c r="C502" s="6" t="str">
        <f>"2020031405"</f>
        <v>2020031405</v>
      </c>
      <c r="D502" s="7">
        <v>63.8</v>
      </c>
      <c r="E502" s="8">
        <v>83</v>
      </c>
      <c r="F502" s="9">
        <f t="shared" si="9"/>
        <v>146.80000000000001</v>
      </c>
      <c r="G502" s="10"/>
    </row>
    <row r="503" spans="1:7">
      <c r="A503" s="4">
        <v>500</v>
      </c>
      <c r="B503" s="5" t="s">
        <v>139</v>
      </c>
      <c r="C503" s="6" t="str">
        <f>"2020046519"</f>
        <v>2020046519</v>
      </c>
      <c r="D503" s="7">
        <v>78.5</v>
      </c>
      <c r="E503" s="8">
        <v>78.5</v>
      </c>
      <c r="F503" s="9">
        <f t="shared" si="9"/>
        <v>157</v>
      </c>
      <c r="G503" s="10"/>
    </row>
    <row r="504" spans="1:7">
      <c r="A504" s="4">
        <v>501</v>
      </c>
      <c r="B504" s="5" t="s">
        <v>139</v>
      </c>
      <c r="C504" s="6" t="str">
        <f>"2020042705"</f>
        <v>2020042705</v>
      </c>
      <c r="D504" s="7">
        <v>75.099999999999994</v>
      </c>
      <c r="E504" s="8">
        <v>76.5</v>
      </c>
      <c r="F504" s="9">
        <f t="shared" si="9"/>
        <v>151.6</v>
      </c>
      <c r="G504" s="10"/>
    </row>
    <row r="505" spans="1:7">
      <c r="A505" s="4">
        <v>502</v>
      </c>
      <c r="B505" s="5" t="s">
        <v>139</v>
      </c>
      <c r="C505" s="6" t="str">
        <f>"2020020514"</f>
        <v>2020020514</v>
      </c>
      <c r="D505" s="7">
        <v>68.8</v>
      </c>
      <c r="E505" s="8">
        <v>75</v>
      </c>
      <c r="F505" s="9">
        <f t="shared" si="9"/>
        <v>143.80000000000001</v>
      </c>
      <c r="G505" s="10"/>
    </row>
    <row r="506" spans="1:7">
      <c r="A506" s="4">
        <v>503</v>
      </c>
      <c r="B506" s="5" t="s">
        <v>140</v>
      </c>
      <c r="C506" s="6" t="str">
        <f>"2020040922"</f>
        <v>2020040922</v>
      </c>
      <c r="D506" s="7">
        <v>69.099999999999994</v>
      </c>
      <c r="E506" s="8">
        <v>77.5</v>
      </c>
      <c r="F506" s="9">
        <f t="shared" si="9"/>
        <v>146.6</v>
      </c>
      <c r="G506" s="10"/>
    </row>
    <row r="507" spans="1:7">
      <c r="A507" s="4">
        <v>504</v>
      </c>
      <c r="B507" s="5" t="s">
        <v>140</v>
      </c>
      <c r="C507" s="6" t="str">
        <f>"2020013312"</f>
        <v>2020013312</v>
      </c>
      <c r="D507" s="7">
        <v>66.400000000000006</v>
      </c>
      <c r="E507" s="8">
        <v>66</v>
      </c>
      <c r="F507" s="9">
        <f t="shared" si="9"/>
        <v>132.4</v>
      </c>
      <c r="G507" s="10"/>
    </row>
    <row r="508" spans="1:7">
      <c r="A508" s="4">
        <v>505</v>
      </c>
      <c r="B508" s="5" t="s">
        <v>140</v>
      </c>
      <c r="C508" s="6" t="str">
        <f>"2020030721"</f>
        <v>2020030721</v>
      </c>
      <c r="D508" s="7">
        <v>56.7</v>
      </c>
      <c r="E508" s="8">
        <v>49.5</v>
      </c>
      <c r="F508" s="9">
        <f t="shared" si="9"/>
        <v>106.2</v>
      </c>
      <c r="G508" s="10"/>
    </row>
    <row r="509" spans="1:7">
      <c r="A509" s="4">
        <v>506</v>
      </c>
      <c r="B509" s="5" t="s">
        <v>141</v>
      </c>
      <c r="C509" s="6" t="str">
        <f>"2020032814"</f>
        <v>2020032814</v>
      </c>
      <c r="D509" s="7">
        <v>73.2</v>
      </c>
      <c r="E509" s="8">
        <v>84.5</v>
      </c>
      <c r="F509" s="9">
        <f t="shared" si="9"/>
        <v>157.69999999999999</v>
      </c>
      <c r="G509" s="10"/>
    </row>
    <row r="510" spans="1:7">
      <c r="A510" s="4">
        <v>507</v>
      </c>
      <c r="B510" s="5" t="s">
        <v>141</v>
      </c>
      <c r="C510" s="6" t="str">
        <f>"2020013026"</f>
        <v>2020013026</v>
      </c>
      <c r="D510" s="7">
        <v>75.099999999999994</v>
      </c>
      <c r="E510" s="8">
        <v>81</v>
      </c>
      <c r="F510" s="9">
        <f t="shared" si="9"/>
        <v>156.1</v>
      </c>
      <c r="G510" s="10"/>
    </row>
    <row r="511" spans="1:7">
      <c r="A511" s="4">
        <v>508</v>
      </c>
      <c r="B511" s="5" t="s">
        <v>141</v>
      </c>
      <c r="C511" s="6" t="str">
        <f>"2020044908"</f>
        <v>2020044908</v>
      </c>
      <c r="D511" s="7">
        <v>77.7</v>
      </c>
      <c r="E511" s="8">
        <v>77.5</v>
      </c>
      <c r="F511" s="9">
        <f t="shared" si="9"/>
        <v>155.19999999999999</v>
      </c>
      <c r="G511" s="10"/>
    </row>
    <row r="512" spans="1:7">
      <c r="A512" s="4">
        <v>509</v>
      </c>
      <c r="B512" s="5" t="s">
        <v>141</v>
      </c>
      <c r="C512" s="6" t="str">
        <f>"2020047102"</f>
        <v>2020047102</v>
      </c>
      <c r="D512" s="7">
        <v>75.7</v>
      </c>
      <c r="E512" s="8">
        <v>77</v>
      </c>
      <c r="F512" s="9">
        <f t="shared" si="9"/>
        <v>152.69999999999999</v>
      </c>
      <c r="G512" s="10"/>
    </row>
    <row r="513" spans="1:7">
      <c r="A513" s="4">
        <v>510</v>
      </c>
      <c r="B513" s="5" t="s">
        <v>141</v>
      </c>
      <c r="C513" s="6" t="str">
        <f>"2020024722"</f>
        <v>2020024722</v>
      </c>
      <c r="D513" s="7">
        <v>69.5</v>
      </c>
      <c r="E513" s="8">
        <v>79.5</v>
      </c>
      <c r="F513" s="9">
        <f t="shared" si="9"/>
        <v>149</v>
      </c>
      <c r="G513" s="10"/>
    </row>
    <row r="514" spans="1:7">
      <c r="A514" s="4">
        <v>511</v>
      </c>
      <c r="B514" s="5" t="s">
        <v>141</v>
      </c>
      <c r="C514" s="6" t="str">
        <f>"2020047206"</f>
        <v>2020047206</v>
      </c>
      <c r="D514" s="7">
        <v>71.400000000000006</v>
      </c>
      <c r="E514" s="8">
        <v>77.5</v>
      </c>
      <c r="F514" s="9">
        <f t="shared" si="9"/>
        <v>148.9</v>
      </c>
      <c r="G514" s="10"/>
    </row>
    <row r="515" spans="1:7">
      <c r="A515" s="4">
        <v>512</v>
      </c>
      <c r="B515" s="5" t="s">
        <v>141</v>
      </c>
      <c r="C515" s="6" t="str">
        <f>"2020022230"</f>
        <v>2020022230</v>
      </c>
      <c r="D515" s="7">
        <v>70.900000000000006</v>
      </c>
      <c r="E515" s="8">
        <v>77</v>
      </c>
      <c r="F515" s="9">
        <f t="shared" si="9"/>
        <v>147.9</v>
      </c>
      <c r="G515" s="10"/>
    </row>
    <row r="516" spans="1:7">
      <c r="A516" s="4">
        <v>513</v>
      </c>
      <c r="B516" s="5" t="s">
        <v>141</v>
      </c>
      <c r="C516" s="6" t="str">
        <f>"2020020503"</f>
        <v>2020020503</v>
      </c>
      <c r="D516" s="7">
        <v>67.3</v>
      </c>
      <c r="E516" s="8">
        <v>76.5</v>
      </c>
      <c r="F516" s="9">
        <f t="shared" si="9"/>
        <v>143.80000000000001</v>
      </c>
      <c r="G516" s="10"/>
    </row>
    <row r="517" spans="1:7">
      <c r="A517" s="4">
        <v>514</v>
      </c>
      <c r="B517" s="5" t="s">
        <v>141</v>
      </c>
      <c r="C517" s="6" t="str">
        <f>"2020046014"</f>
        <v>2020046014</v>
      </c>
      <c r="D517" s="7">
        <v>63.7</v>
      </c>
      <c r="E517" s="8">
        <v>78</v>
      </c>
      <c r="F517" s="9">
        <f t="shared" si="9"/>
        <v>141.69999999999999</v>
      </c>
      <c r="G517" s="10"/>
    </row>
    <row r="518" spans="1:7">
      <c r="A518" s="4">
        <v>515</v>
      </c>
      <c r="B518" s="5" t="s">
        <v>141</v>
      </c>
      <c r="C518" s="6" t="str">
        <f>"2020045216"</f>
        <v>2020045216</v>
      </c>
      <c r="D518" s="7">
        <v>68.400000000000006</v>
      </c>
      <c r="E518" s="8">
        <v>73</v>
      </c>
      <c r="F518" s="9">
        <f t="shared" si="9"/>
        <v>141.4</v>
      </c>
      <c r="G518" s="10"/>
    </row>
    <row r="519" spans="1:7">
      <c r="A519" s="4">
        <v>516</v>
      </c>
      <c r="B519" s="5" t="s">
        <v>141</v>
      </c>
      <c r="C519" s="6" t="str">
        <f>"2020042009"</f>
        <v>2020042009</v>
      </c>
      <c r="D519" s="7">
        <v>64.400000000000006</v>
      </c>
      <c r="E519" s="8">
        <v>76.5</v>
      </c>
      <c r="F519" s="9">
        <f t="shared" si="9"/>
        <v>140.9</v>
      </c>
      <c r="G519" s="10"/>
    </row>
    <row r="520" spans="1:7">
      <c r="A520" s="4">
        <v>517</v>
      </c>
      <c r="B520" s="5" t="s">
        <v>141</v>
      </c>
      <c r="C520" s="6" t="str">
        <f>"2020042602"</f>
        <v>2020042602</v>
      </c>
      <c r="D520" s="7">
        <v>68.099999999999994</v>
      </c>
      <c r="E520" s="8">
        <v>71.5</v>
      </c>
      <c r="F520" s="9">
        <f t="shared" si="9"/>
        <v>139.6</v>
      </c>
      <c r="G520" s="10"/>
    </row>
    <row r="521" spans="1:7">
      <c r="A521" s="4">
        <v>518</v>
      </c>
      <c r="B521" s="5" t="s">
        <v>141</v>
      </c>
      <c r="C521" s="6" t="str">
        <f>"2020032712"</f>
        <v>2020032712</v>
      </c>
      <c r="D521" s="7">
        <v>67.599999999999994</v>
      </c>
      <c r="E521" s="8">
        <v>72</v>
      </c>
      <c r="F521" s="9">
        <f t="shared" si="9"/>
        <v>139.6</v>
      </c>
      <c r="G521" s="10"/>
    </row>
    <row r="522" spans="1:7">
      <c r="A522" s="4">
        <v>519</v>
      </c>
      <c r="B522" s="5" t="s">
        <v>142</v>
      </c>
      <c r="C522" s="6" t="str">
        <f>"2020020320"</f>
        <v>2020020320</v>
      </c>
      <c r="D522" s="7">
        <v>77</v>
      </c>
      <c r="E522" s="8">
        <v>88</v>
      </c>
      <c r="F522" s="9">
        <f t="shared" si="9"/>
        <v>165</v>
      </c>
      <c r="G522" s="10"/>
    </row>
    <row r="523" spans="1:7">
      <c r="A523" s="4">
        <v>520</v>
      </c>
      <c r="B523" s="5" t="s">
        <v>142</v>
      </c>
      <c r="C523" s="6" t="str">
        <f>"2020023201"</f>
        <v>2020023201</v>
      </c>
      <c r="D523" s="7">
        <v>73.900000000000006</v>
      </c>
      <c r="E523" s="8">
        <v>87.5</v>
      </c>
      <c r="F523" s="9">
        <f t="shared" si="9"/>
        <v>161.4</v>
      </c>
      <c r="G523" s="10"/>
    </row>
    <row r="524" spans="1:7">
      <c r="A524" s="4">
        <v>521</v>
      </c>
      <c r="B524" s="5" t="s">
        <v>142</v>
      </c>
      <c r="C524" s="6" t="str">
        <f>"2020020120"</f>
        <v>2020020120</v>
      </c>
      <c r="D524" s="7">
        <v>72</v>
      </c>
      <c r="E524" s="8">
        <v>80.5</v>
      </c>
      <c r="F524" s="9">
        <f t="shared" si="9"/>
        <v>152.5</v>
      </c>
      <c r="G524" s="10"/>
    </row>
    <row r="525" spans="1:7">
      <c r="A525" s="4">
        <v>522</v>
      </c>
      <c r="B525" s="5" t="s">
        <v>142</v>
      </c>
      <c r="C525" s="6" t="str">
        <f>"2020040302"</f>
        <v>2020040302</v>
      </c>
      <c r="D525" s="7">
        <v>75.599999999999994</v>
      </c>
      <c r="E525" s="8">
        <v>74</v>
      </c>
      <c r="F525" s="9">
        <f t="shared" si="9"/>
        <v>149.6</v>
      </c>
      <c r="G525" s="10"/>
    </row>
    <row r="526" spans="1:7">
      <c r="A526" s="4">
        <v>523</v>
      </c>
      <c r="B526" s="5" t="s">
        <v>142</v>
      </c>
      <c r="C526" s="6" t="str">
        <f>"2020024324"</f>
        <v>2020024324</v>
      </c>
      <c r="D526" s="7">
        <v>73.099999999999994</v>
      </c>
      <c r="E526" s="8">
        <v>76.5</v>
      </c>
      <c r="F526" s="9">
        <f t="shared" si="9"/>
        <v>149.6</v>
      </c>
      <c r="G526" s="10"/>
    </row>
    <row r="527" spans="1:7">
      <c r="A527" s="4">
        <v>524</v>
      </c>
      <c r="B527" s="5" t="s">
        <v>142</v>
      </c>
      <c r="C527" s="6" t="str">
        <f>"2020033022"</f>
        <v>2020033022</v>
      </c>
      <c r="D527" s="7">
        <v>70.5</v>
      </c>
      <c r="E527" s="8">
        <v>77.5</v>
      </c>
      <c r="F527" s="9">
        <f t="shared" si="9"/>
        <v>148</v>
      </c>
      <c r="G527" s="10"/>
    </row>
    <row r="528" spans="1:7">
      <c r="A528" s="4">
        <v>525</v>
      </c>
      <c r="B528" s="5" t="s">
        <v>143</v>
      </c>
      <c r="C528" s="6" t="str">
        <f>"2020024101"</f>
        <v>2020024101</v>
      </c>
      <c r="D528" s="7">
        <v>69.5</v>
      </c>
      <c r="E528" s="8">
        <v>78.5</v>
      </c>
      <c r="F528" s="9">
        <f t="shared" si="9"/>
        <v>148</v>
      </c>
      <c r="G528" s="10"/>
    </row>
    <row r="529" spans="1:7">
      <c r="A529" s="4">
        <v>526</v>
      </c>
      <c r="B529" s="5" t="s">
        <v>143</v>
      </c>
      <c r="C529" s="6" t="str">
        <f>"2020044309"</f>
        <v>2020044309</v>
      </c>
      <c r="D529" s="7">
        <v>67.5</v>
      </c>
      <c r="E529" s="8">
        <v>78.5</v>
      </c>
      <c r="F529" s="9">
        <f t="shared" si="9"/>
        <v>146</v>
      </c>
      <c r="G529" s="10"/>
    </row>
    <row r="530" spans="1:7">
      <c r="A530" s="4">
        <v>527</v>
      </c>
      <c r="B530" s="5" t="s">
        <v>143</v>
      </c>
      <c r="C530" s="6" t="str">
        <f>"2020032614"</f>
        <v>2020032614</v>
      </c>
      <c r="D530" s="7">
        <v>73.7</v>
      </c>
      <c r="E530" s="8">
        <v>68.5</v>
      </c>
      <c r="F530" s="9">
        <f t="shared" si="9"/>
        <v>142.19999999999999</v>
      </c>
      <c r="G530" s="10"/>
    </row>
    <row r="531" spans="1:7">
      <c r="A531" s="4">
        <v>528</v>
      </c>
      <c r="B531" s="5" t="s">
        <v>144</v>
      </c>
      <c r="C531" s="6" t="str">
        <f>"2020012616"</f>
        <v>2020012616</v>
      </c>
      <c r="D531" s="7">
        <v>62.7</v>
      </c>
      <c r="E531" s="8">
        <v>72</v>
      </c>
      <c r="F531" s="9">
        <f t="shared" si="9"/>
        <v>134.69999999999999</v>
      </c>
      <c r="G531" s="10"/>
    </row>
    <row r="532" spans="1:7">
      <c r="A532" s="4">
        <v>529</v>
      </c>
      <c r="B532" s="5" t="s">
        <v>144</v>
      </c>
      <c r="C532" s="6" t="str">
        <f>"2020041814"</f>
        <v>2020041814</v>
      </c>
      <c r="D532" s="7">
        <v>69.3</v>
      </c>
      <c r="E532" s="8">
        <v>59.5</v>
      </c>
      <c r="F532" s="9">
        <f t="shared" si="9"/>
        <v>128.80000000000001</v>
      </c>
      <c r="G532" s="10"/>
    </row>
    <row r="533" spans="1:7">
      <c r="A533" s="4">
        <v>530</v>
      </c>
      <c r="B533" s="5" t="s">
        <v>144</v>
      </c>
      <c r="C533" s="6" t="str">
        <f>"2020032413"</f>
        <v>2020032413</v>
      </c>
      <c r="D533" s="7">
        <v>60.2</v>
      </c>
      <c r="E533" s="8">
        <v>61.5</v>
      </c>
      <c r="F533" s="9">
        <f t="shared" si="9"/>
        <v>121.7</v>
      </c>
      <c r="G533" s="10"/>
    </row>
    <row r="534" spans="1:7">
      <c r="A534" s="4">
        <v>531</v>
      </c>
      <c r="B534" s="5" t="s">
        <v>145</v>
      </c>
      <c r="C534" s="6" t="str">
        <f>"2020040509"</f>
        <v>2020040509</v>
      </c>
      <c r="D534" s="7">
        <v>73.7</v>
      </c>
      <c r="E534" s="8">
        <v>78.5</v>
      </c>
      <c r="F534" s="9">
        <f t="shared" si="9"/>
        <v>152.19999999999999</v>
      </c>
      <c r="G534" s="10"/>
    </row>
    <row r="535" spans="1:7">
      <c r="A535" s="4">
        <v>532</v>
      </c>
      <c r="B535" s="5" t="s">
        <v>145</v>
      </c>
      <c r="C535" s="6" t="str">
        <f>"2020010523"</f>
        <v>2020010523</v>
      </c>
      <c r="D535" s="7">
        <v>75.5</v>
      </c>
      <c r="E535" s="8">
        <v>69</v>
      </c>
      <c r="F535" s="9">
        <f t="shared" ref="F535:F598" si="10">SUM(D535:E535)</f>
        <v>144.5</v>
      </c>
      <c r="G535" s="10"/>
    </row>
    <row r="536" spans="1:7">
      <c r="A536" s="4">
        <v>533</v>
      </c>
      <c r="B536" s="5" t="s">
        <v>145</v>
      </c>
      <c r="C536" s="6" t="str">
        <f>"2020042509"</f>
        <v>2020042509</v>
      </c>
      <c r="D536" s="7">
        <v>70.3</v>
      </c>
      <c r="E536" s="8">
        <v>72</v>
      </c>
      <c r="F536" s="9">
        <f t="shared" si="10"/>
        <v>142.30000000000001</v>
      </c>
      <c r="G536" s="10"/>
    </row>
    <row r="537" spans="1:7">
      <c r="A537" s="4">
        <v>534</v>
      </c>
      <c r="B537" s="5" t="s">
        <v>146</v>
      </c>
      <c r="C537" s="6" t="str">
        <f>"2020021313"</f>
        <v>2020021313</v>
      </c>
      <c r="D537" s="7">
        <v>70</v>
      </c>
      <c r="E537" s="8">
        <v>81.5</v>
      </c>
      <c r="F537" s="9">
        <f t="shared" si="10"/>
        <v>151.5</v>
      </c>
      <c r="G537" s="10"/>
    </row>
    <row r="538" spans="1:7">
      <c r="A538" s="4">
        <v>535</v>
      </c>
      <c r="B538" s="5" t="s">
        <v>146</v>
      </c>
      <c r="C538" s="6" t="str">
        <f>"2020024813"</f>
        <v>2020024813</v>
      </c>
      <c r="D538" s="7">
        <v>72.3</v>
      </c>
      <c r="E538" s="8">
        <v>72</v>
      </c>
      <c r="F538" s="9">
        <f t="shared" si="10"/>
        <v>144.30000000000001</v>
      </c>
      <c r="G538" s="10"/>
    </row>
    <row r="539" spans="1:7">
      <c r="A539" s="4">
        <v>536</v>
      </c>
      <c r="B539" s="5" t="s">
        <v>146</v>
      </c>
      <c r="C539" s="6" t="str">
        <f>"2020014018"</f>
        <v>2020014018</v>
      </c>
      <c r="D539" s="7">
        <v>70.3</v>
      </c>
      <c r="E539" s="8">
        <v>74</v>
      </c>
      <c r="F539" s="9">
        <f t="shared" si="10"/>
        <v>144.30000000000001</v>
      </c>
      <c r="G539" s="10"/>
    </row>
    <row r="540" spans="1:7">
      <c r="A540" s="4">
        <v>537</v>
      </c>
      <c r="B540" s="5" t="s">
        <v>146</v>
      </c>
      <c r="C540" s="6" t="str">
        <f>"2020045916"</f>
        <v>2020045916</v>
      </c>
      <c r="D540" s="7">
        <v>74.8</v>
      </c>
      <c r="E540" s="8">
        <v>64.5</v>
      </c>
      <c r="F540" s="9">
        <f t="shared" si="10"/>
        <v>139.30000000000001</v>
      </c>
      <c r="G540" s="10"/>
    </row>
    <row r="541" spans="1:7">
      <c r="A541" s="4">
        <v>538</v>
      </c>
      <c r="B541" s="5" t="s">
        <v>146</v>
      </c>
      <c r="C541" s="6" t="str">
        <f>"2020012004"</f>
        <v>2020012004</v>
      </c>
      <c r="D541" s="7">
        <v>64.400000000000006</v>
      </c>
      <c r="E541" s="8">
        <v>74.5</v>
      </c>
      <c r="F541" s="9">
        <f t="shared" si="10"/>
        <v>138.9</v>
      </c>
      <c r="G541" s="10"/>
    </row>
    <row r="542" spans="1:7">
      <c r="A542" s="4">
        <v>539</v>
      </c>
      <c r="B542" s="5" t="s">
        <v>146</v>
      </c>
      <c r="C542" s="6" t="str">
        <f>"2020044501"</f>
        <v>2020044501</v>
      </c>
      <c r="D542" s="7">
        <v>73</v>
      </c>
      <c r="E542" s="8">
        <v>64</v>
      </c>
      <c r="F542" s="9">
        <f t="shared" si="10"/>
        <v>137</v>
      </c>
      <c r="G542" s="10"/>
    </row>
    <row r="543" spans="1:7">
      <c r="A543" s="4">
        <v>540</v>
      </c>
      <c r="B543" s="5" t="s">
        <v>147</v>
      </c>
      <c r="C543" s="6" t="str">
        <f>"2020032430"</f>
        <v>2020032430</v>
      </c>
      <c r="D543" s="7">
        <v>68.3</v>
      </c>
      <c r="E543" s="8">
        <v>77</v>
      </c>
      <c r="F543" s="9">
        <f t="shared" si="10"/>
        <v>145.30000000000001</v>
      </c>
      <c r="G543" s="10"/>
    </row>
    <row r="544" spans="1:7">
      <c r="A544" s="4">
        <v>541</v>
      </c>
      <c r="B544" s="5" t="s">
        <v>147</v>
      </c>
      <c r="C544" s="6" t="str">
        <f>"2020020820"</f>
        <v>2020020820</v>
      </c>
      <c r="D544" s="7">
        <v>76.7</v>
      </c>
      <c r="E544" s="8">
        <v>68</v>
      </c>
      <c r="F544" s="9">
        <f t="shared" si="10"/>
        <v>144.69999999999999</v>
      </c>
      <c r="G544" s="10"/>
    </row>
    <row r="545" spans="1:7">
      <c r="A545" s="4">
        <v>542</v>
      </c>
      <c r="B545" s="5" t="s">
        <v>147</v>
      </c>
      <c r="C545" s="6" t="str">
        <f>"2020022903"</f>
        <v>2020022903</v>
      </c>
      <c r="D545" s="7">
        <v>73.900000000000006</v>
      </c>
      <c r="E545" s="8">
        <v>66.5</v>
      </c>
      <c r="F545" s="9">
        <f t="shared" si="10"/>
        <v>140.4</v>
      </c>
      <c r="G545" s="10"/>
    </row>
    <row r="546" spans="1:7">
      <c r="A546" s="4">
        <v>543</v>
      </c>
      <c r="B546" s="5" t="s">
        <v>148</v>
      </c>
      <c r="C546" s="6" t="str">
        <f>"2020044914"</f>
        <v>2020044914</v>
      </c>
      <c r="D546" s="7">
        <v>68.900000000000006</v>
      </c>
      <c r="E546" s="8">
        <v>75</v>
      </c>
      <c r="F546" s="9">
        <f t="shared" si="10"/>
        <v>143.9</v>
      </c>
      <c r="G546" s="10"/>
    </row>
    <row r="547" spans="1:7">
      <c r="A547" s="4">
        <v>544</v>
      </c>
      <c r="B547" s="5" t="s">
        <v>148</v>
      </c>
      <c r="C547" s="6" t="str">
        <f>"2020045126"</f>
        <v>2020045126</v>
      </c>
      <c r="D547" s="7">
        <v>68.7</v>
      </c>
      <c r="E547" s="8">
        <v>58.5</v>
      </c>
      <c r="F547" s="9">
        <f t="shared" si="10"/>
        <v>127.2</v>
      </c>
      <c r="G547" s="10"/>
    </row>
    <row r="548" spans="1:7">
      <c r="A548" s="4">
        <v>545</v>
      </c>
      <c r="B548" s="5" t="s">
        <v>148</v>
      </c>
      <c r="C548" s="6" t="str">
        <f>"2020032315"</f>
        <v>2020032315</v>
      </c>
      <c r="D548" s="7">
        <v>67.7</v>
      </c>
      <c r="E548" s="8">
        <v>58</v>
      </c>
      <c r="F548" s="9">
        <f t="shared" si="10"/>
        <v>125.7</v>
      </c>
      <c r="G548" s="10"/>
    </row>
    <row r="549" spans="1:7">
      <c r="A549" s="4">
        <v>546</v>
      </c>
      <c r="B549" s="5" t="s">
        <v>149</v>
      </c>
      <c r="C549" s="6" t="str">
        <f>"2020041801"</f>
        <v>2020041801</v>
      </c>
      <c r="D549" s="7">
        <v>72.7</v>
      </c>
      <c r="E549" s="8">
        <v>71</v>
      </c>
      <c r="F549" s="9">
        <f t="shared" si="10"/>
        <v>143.69999999999999</v>
      </c>
      <c r="G549" s="10"/>
    </row>
    <row r="550" spans="1:7">
      <c r="A550" s="4">
        <v>547</v>
      </c>
      <c r="B550" s="5" t="s">
        <v>149</v>
      </c>
      <c r="C550" s="6" t="str">
        <f>"2020045219"</f>
        <v>2020045219</v>
      </c>
      <c r="D550" s="7">
        <v>64.7</v>
      </c>
      <c r="E550" s="8">
        <v>76.5</v>
      </c>
      <c r="F550" s="9">
        <f t="shared" si="10"/>
        <v>141.19999999999999</v>
      </c>
      <c r="G550" s="10"/>
    </row>
    <row r="551" spans="1:7">
      <c r="A551" s="4">
        <v>548</v>
      </c>
      <c r="B551" s="5" t="s">
        <v>149</v>
      </c>
      <c r="C551" s="6" t="str">
        <f>"2020046623"</f>
        <v>2020046623</v>
      </c>
      <c r="D551" s="7">
        <v>59.5</v>
      </c>
      <c r="E551" s="8">
        <v>79</v>
      </c>
      <c r="F551" s="9">
        <f t="shared" si="10"/>
        <v>138.5</v>
      </c>
      <c r="G551" s="10"/>
    </row>
    <row r="552" spans="1:7">
      <c r="A552" s="4">
        <v>549</v>
      </c>
      <c r="B552" s="5" t="s">
        <v>150</v>
      </c>
      <c r="C552" s="6" t="str">
        <f>"2020041514"</f>
        <v>2020041514</v>
      </c>
      <c r="D552" s="7">
        <v>73.3</v>
      </c>
      <c r="E552" s="8">
        <v>84.5</v>
      </c>
      <c r="F552" s="9">
        <f t="shared" si="10"/>
        <v>157.80000000000001</v>
      </c>
      <c r="G552" s="10"/>
    </row>
    <row r="553" spans="1:7">
      <c r="A553" s="4">
        <v>550</v>
      </c>
      <c r="B553" s="5" t="s">
        <v>150</v>
      </c>
      <c r="C553" s="6" t="str">
        <f>"2020024116"</f>
        <v>2020024116</v>
      </c>
      <c r="D553" s="7">
        <v>74.400000000000006</v>
      </c>
      <c r="E553" s="8">
        <v>81.5</v>
      </c>
      <c r="F553" s="9">
        <f t="shared" si="10"/>
        <v>155.9</v>
      </c>
      <c r="G553" s="10"/>
    </row>
    <row r="554" spans="1:7">
      <c r="A554" s="4">
        <v>551</v>
      </c>
      <c r="B554" s="5" t="s">
        <v>150</v>
      </c>
      <c r="C554" s="6" t="str">
        <f>"2020047412"</f>
        <v>2020047412</v>
      </c>
      <c r="D554" s="7">
        <v>79.599999999999994</v>
      </c>
      <c r="E554" s="8">
        <v>71</v>
      </c>
      <c r="F554" s="9">
        <f t="shared" si="10"/>
        <v>150.6</v>
      </c>
      <c r="G554" s="10"/>
    </row>
    <row r="555" spans="1:7">
      <c r="A555" s="4">
        <v>552</v>
      </c>
      <c r="B555" s="5" t="s">
        <v>151</v>
      </c>
      <c r="C555" s="6" t="str">
        <f>"2020042804"</f>
        <v>2020042804</v>
      </c>
      <c r="D555" s="7">
        <v>68.400000000000006</v>
      </c>
      <c r="E555" s="8">
        <v>77.5</v>
      </c>
      <c r="F555" s="9">
        <f t="shared" si="10"/>
        <v>145.9</v>
      </c>
      <c r="G555" s="10"/>
    </row>
    <row r="556" spans="1:7">
      <c r="A556" s="4">
        <v>553</v>
      </c>
      <c r="B556" s="5" t="s">
        <v>151</v>
      </c>
      <c r="C556" s="6" t="str">
        <f>"2020046629"</f>
        <v>2020046629</v>
      </c>
      <c r="D556" s="7">
        <v>75</v>
      </c>
      <c r="E556" s="8">
        <v>65.5</v>
      </c>
      <c r="F556" s="9">
        <f t="shared" si="10"/>
        <v>140.5</v>
      </c>
      <c r="G556" s="10"/>
    </row>
    <row r="557" spans="1:7">
      <c r="A557" s="4">
        <v>554</v>
      </c>
      <c r="B557" s="5" t="s">
        <v>151</v>
      </c>
      <c r="C557" s="6" t="str">
        <f>"2020024003"</f>
        <v>2020024003</v>
      </c>
      <c r="D557" s="7">
        <v>68.099999999999994</v>
      </c>
      <c r="E557" s="8">
        <v>56.5</v>
      </c>
      <c r="F557" s="9">
        <f t="shared" si="10"/>
        <v>124.6</v>
      </c>
      <c r="G557" s="10"/>
    </row>
    <row r="558" spans="1:7">
      <c r="A558" s="4">
        <v>555</v>
      </c>
      <c r="B558" s="5" t="s">
        <v>152</v>
      </c>
      <c r="C558" s="6" t="str">
        <f>"2020023730"</f>
        <v>2020023730</v>
      </c>
      <c r="D558" s="7">
        <v>65.5</v>
      </c>
      <c r="E558" s="8">
        <v>81.5</v>
      </c>
      <c r="F558" s="9">
        <f t="shared" si="10"/>
        <v>147</v>
      </c>
      <c r="G558" s="10"/>
    </row>
    <row r="559" spans="1:7">
      <c r="A559" s="4">
        <v>556</v>
      </c>
      <c r="B559" s="5" t="s">
        <v>152</v>
      </c>
      <c r="C559" s="6" t="str">
        <f>"2020010513"</f>
        <v>2020010513</v>
      </c>
      <c r="D559" s="7">
        <v>69.599999999999994</v>
      </c>
      <c r="E559" s="8">
        <v>74</v>
      </c>
      <c r="F559" s="9">
        <f t="shared" si="10"/>
        <v>143.6</v>
      </c>
      <c r="G559" s="10"/>
    </row>
    <row r="560" spans="1:7">
      <c r="A560" s="4">
        <v>557</v>
      </c>
      <c r="B560" s="5" t="s">
        <v>153</v>
      </c>
      <c r="C560" s="6" t="str">
        <f>"2020020505"</f>
        <v>2020020505</v>
      </c>
      <c r="D560" s="7">
        <v>74.400000000000006</v>
      </c>
      <c r="E560" s="8">
        <v>78.5</v>
      </c>
      <c r="F560" s="9">
        <f t="shared" si="10"/>
        <v>152.9</v>
      </c>
      <c r="G560" s="10"/>
    </row>
    <row r="561" spans="1:7">
      <c r="A561" s="4">
        <v>558</v>
      </c>
      <c r="B561" s="5" t="s">
        <v>153</v>
      </c>
      <c r="C561" s="6" t="str">
        <f>"2020046324"</f>
        <v>2020046324</v>
      </c>
      <c r="D561" s="7">
        <v>69</v>
      </c>
      <c r="E561" s="8">
        <v>73</v>
      </c>
      <c r="F561" s="9">
        <f t="shared" si="10"/>
        <v>142</v>
      </c>
      <c r="G561" s="10"/>
    </row>
    <row r="562" spans="1:7">
      <c r="A562" s="4">
        <v>559</v>
      </c>
      <c r="B562" s="5" t="s">
        <v>153</v>
      </c>
      <c r="C562" s="6" t="str">
        <f>"2020045317"</f>
        <v>2020045317</v>
      </c>
      <c r="D562" s="7">
        <v>67.400000000000006</v>
      </c>
      <c r="E562" s="8">
        <v>69</v>
      </c>
      <c r="F562" s="9">
        <f t="shared" si="10"/>
        <v>136.4</v>
      </c>
      <c r="G562" s="10"/>
    </row>
    <row r="563" spans="1:7">
      <c r="A563" s="4">
        <v>560</v>
      </c>
      <c r="B563" s="5" t="s">
        <v>154</v>
      </c>
      <c r="C563" s="6" t="str">
        <f>"2020024325"</f>
        <v>2020024325</v>
      </c>
      <c r="D563" s="7">
        <v>71.400000000000006</v>
      </c>
      <c r="E563" s="8">
        <v>80.5</v>
      </c>
      <c r="F563" s="9">
        <f t="shared" si="10"/>
        <v>151.9</v>
      </c>
      <c r="G563" s="10"/>
    </row>
    <row r="564" spans="1:7">
      <c r="A564" s="4">
        <v>561</v>
      </c>
      <c r="B564" s="5" t="s">
        <v>154</v>
      </c>
      <c r="C564" s="6" t="str">
        <f>"2020024503"</f>
        <v>2020024503</v>
      </c>
      <c r="D564" s="7">
        <v>72.3</v>
      </c>
      <c r="E564" s="8">
        <v>77.5</v>
      </c>
      <c r="F564" s="9">
        <f t="shared" si="10"/>
        <v>149.80000000000001</v>
      </c>
      <c r="G564" s="10"/>
    </row>
    <row r="565" spans="1:7">
      <c r="A565" s="4">
        <v>562</v>
      </c>
      <c r="B565" s="5" t="s">
        <v>154</v>
      </c>
      <c r="C565" s="6" t="str">
        <f>"2020010305"</f>
        <v>2020010305</v>
      </c>
      <c r="D565" s="7">
        <v>74.8</v>
      </c>
      <c r="E565" s="8">
        <v>68.5</v>
      </c>
      <c r="F565" s="9">
        <f t="shared" si="10"/>
        <v>143.30000000000001</v>
      </c>
      <c r="G565" s="10"/>
    </row>
    <row r="566" spans="1:7">
      <c r="A566" s="4">
        <v>563</v>
      </c>
      <c r="B566" s="5" t="s">
        <v>154</v>
      </c>
      <c r="C566" s="6" t="str">
        <f>"2020030823"</f>
        <v>2020030823</v>
      </c>
      <c r="D566" s="7">
        <v>65.400000000000006</v>
      </c>
      <c r="E566" s="8">
        <v>75.5</v>
      </c>
      <c r="F566" s="9">
        <f t="shared" si="10"/>
        <v>140.9</v>
      </c>
      <c r="G566" s="10"/>
    </row>
    <row r="567" spans="1:7">
      <c r="A567" s="4">
        <v>564</v>
      </c>
      <c r="B567" s="5" t="s">
        <v>154</v>
      </c>
      <c r="C567" s="6" t="str">
        <f>"2020011814"</f>
        <v>2020011814</v>
      </c>
      <c r="D567" s="7">
        <v>66.8</v>
      </c>
      <c r="E567" s="8">
        <v>72.5</v>
      </c>
      <c r="F567" s="9">
        <f t="shared" si="10"/>
        <v>139.30000000000001</v>
      </c>
      <c r="G567" s="10"/>
    </row>
    <row r="568" spans="1:7">
      <c r="A568" s="4">
        <v>565</v>
      </c>
      <c r="B568" s="5" t="s">
        <v>154</v>
      </c>
      <c r="C568" s="6" t="str">
        <f>"2020042121"</f>
        <v>2020042121</v>
      </c>
      <c r="D568" s="7">
        <v>66.5</v>
      </c>
      <c r="E568" s="8">
        <v>72.5</v>
      </c>
      <c r="F568" s="9">
        <f t="shared" si="10"/>
        <v>139</v>
      </c>
      <c r="G568" s="10"/>
    </row>
    <row r="569" spans="1:7">
      <c r="A569" s="4">
        <v>566</v>
      </c>
      <c r="B569" s="5" t="s">
        <v>155</v>
      </c>
      <c r="C569" s="6" t="str">
        <f>"2020022221"</f>
        <v>2020022221</v>
      </c>
      <c r="D569" s="7">
        <v>73.400000000000006</v>
      </c>
      <c r="E569" s="8">
        <v>85</v>
      </c>
      <c r="F569" s="9">
        <f t="shared" si="10"/>
        <v>158.4</v>
      </c>
      <c r="G569" s="10"/>
    </row>
    <row r="570" spans="1:7">
      <c r="A570" s="4">
        <v>567</v>
      </c>
      <c r="B570" s="5" t="s">
        <v>155</v>
      </c>
      <c r="C570" s="6" t="str">
        <f>"2020013912"</f>
        <v>2020013912</v>
      </c>
      <c r="D570" s="7">
        <v>73</v>
      </c>
      <c r="E570" s="8">
        <v>84.5</v>
      </c>
      <c r="F570" s="9">
        <f t="shared" si="10"/>
        <v>157.5</v>
      </c>
      <c r="G570" s="10"/>
    </row>
    <row r="571" spans="1:7">
      <c r="A571" s="4">
        <v>568</v>
      </c>
      <c r="B571" s="5" t="s">
        <v>155</v>
      </c>
      <c r="C571" s="6" t="str">
        <f>"2020046824"</f>
        <v>2020046824</v>
      </c>
      <c r="D571" s="7">
        <v>70.900000000000006</v>
      </c>
      <c r="E571" s="8">
        <v>77.5</v>
      </c>
      <c r="F571" s="9">
        <f t="shared" si="10"/>
        <v>148.4</v>
      </c>
      <c r="G571" s="10"/>
    </row>
    <row r="572" spans="1:7">
      <c r="A572" s="4">
        <v>569</v>
      </c>
      <c r="B572" s="5" t="s">
        <v>156</v>
      </c>
      <c r="C572" s="6" t="str">
        <f>"2020042819"</f>
        <v>2020042819</v>
      </c>
      <c r="D572" s="7">
        <v>61.6</v>
      </c>
      <c r="E572" s="8">
        <v>58.5</v>
      </c>
      <c r="F572" s="9">
        <f t="shared" si="10"/>
        <v>120.1</v>
      </c>
      <c r="G572" s="10"/>
    </row>
    <row r="573" spans="1:7">
      <c r="A573" s="4">
        <v>570</v>
      </c>
      <c r="B573" s="5" t="s">
        <v>156</v>
      </c>
      <c r="C573" s="6" t="str">
        <f>"2020045012"</f>
        <v>2020045012</v>
      </c>
      <c r="D573" s="7">
        <v>57.1</v>
      </c>
      <c r="E573" s="8">
        <v>61.5</v>
      </c>
      <c r="F573" s="9">
        <f t="shared" si="10"/>
        <v>118.6</v>
      </c>
      <c r="G573" s="10"/>
    </row>
    <row r="574" spans="1:7">
      <c r="A574" s="4">
        <v>571</v>
      </c>
      <c r="B574" s="5" t="s">
        <v>156</v>
      </c>
      <c r="C574" s="6" t="str">
        <f>"2020041405"</f>
        <v>2020041405</v>
      </c>
      <c r="D574" s="7">
        <v>60</v>
      </c>
      <c r="E574" s="8">
        <v>46.5</v>
      </c>
      <c r="F574" s="9">
        <f t="shared" si="10"/>
        <v>106.5</v>
      </c>
      <c r="G574" s="10"/>
    </row>
    <row r="575" spans="1:7">
      <c r="A575" s="4">
        <v>572</v>
      </c>
      <c r="B575" s="5" t="s">
        <v>157</v>
      </c>
      <c r="C575" s="6" t="str">
        <f>"2020043313"</f>
        <v>2020043313</v>
      </c>
      <c r="D575" s="7">
        <v>62.5</v>
      </c>
      <c r="E575" s="8">
        <v>72.5</v>
      </c>
      <c r="F575" s="9">
        <f t="shared" si="10"/>
        <v>135</v>
      </c>
      <c r="G575" s="10"/>
    </row>
    <row r="576" spans="1:7">
      <c r="A576" s="4">
        <v>573</v>
      </c>
      <c r="B576" s="5" t="s">
        <v>158</v>
      </c>
      <c r="C576" s="6" t="str">
        <f>"2020045422"</f>
        <v>2020045422</v>
      </c>
      <c r="D576" s="7">
        <v>74.599999999999994</v>
      </c>
      <c r="E576" s="8">
        <v>70</v>
      </c>
      <c r="F576" s="9">
        <f t="shared" si="10"/>
        <v>144.6</v>
      </c>
      <c r="G576" s="10"/>
    </row>
    <row r="577" spans="1:7">
      <c r="A577" s="4">
        <v>574</v>
      </c>
      <c r="B577" s="5" t="s">
        <v>158</v>
      </c>
      <c r="C577" s="6" t="str">
        <f>"2020046321"</f>
        <v>2020046321</v>
      </c>
      <c r="D577" s="7">
        <v>76</v>
      </c>
      <c r="E577" s="8">
        <v>68</v>
      </c>
      <c r="F577" s="9">
        <f t="shared" si="10"/>
        <v>144</v>
      </c>
      <c r="G577" s="10"/>
    </row>
    <row r="578" spans="1:7">
      <c r="A578" s="4">
        <v>575</v>
      </c>
      <c r="B578" s="5" t="s">
        <v>158</v>
      </c>
      <c r="C578" s="6" t="str">
        <f>"2020030217"</f>
        <v>2020030217</v>
      </c>
      <c r="D578" s="7">
        <v>64.3</v>
      </c>
      <c r="E578" s="8">
        <v>79.5</v>
      </c>
      <c r="F578" s="9">
        <f t="shared" si="10"/>
        <v>143.80000000000001</v>
      </c>
      <c r="G578" s="10"/>
    </row>
    <row r="579" spans="1:7">
      <c r="A579" s="4">
        <v>576</v>
      </c>
      <c r="B579" s="5" t="s">
        <v>159</v>
      </c>
      <c r="C579" s="6" t="str">
        <f>"2020042504"</f>
        <v>2020042504</v>
      </c>
      <c r="D579" s="7">
        <v>77.3</v>
      </c>
      <c r="E579" s="8">
        <v>75</v>
      </c>
      <c r="F579" s="9">
        <f t="shared" si="10"/>
        <v>152.30000000000001</v>
      </c>
      <c r="G579" s="10"/>
    </row>
    <row r="580" spans="1:7">
      <c r="A580" s="4">
        <v>577</v>
      </c>
      <c r="B580" s="5" t="s">
        <v>159</v>
      </c>
      <c r="C580" s="6" t="str">
        <f>"2020021717"</f>
        <v>2020021717</v>
      </c>
      <c r="D580" s="7">
        <v>74.099999999999994</v>
      </c>
      <c r="E580" s="8">
        <v>75</v>
      </c>
      <c r="F580" s="9">
        <f t="shared" si="10"/>
        <v>149.1</v>
      </c>
      <c r="G580" s="10"/>
    </row>
    <row r="581" spans="1:7">
      <c r="A581" s="4">
        <v>578</v>
      </c>
      <c r="B581" s="5" t="s">
        <v>159</v>
      </c>
      <c r="C581" s="6" t="str">
        <f>"2020010610"</f>
        <v>2020010610</v>
      </c>
      <c r="D581" s="7">
        <v>71.7</v>
      </c>
      <c r="E581" s="8">
        <v>77</v>
      </c>
      <c r="F581" s="9">
        <f t="shared" si="10"/>
        <v>148.69999999999999</v>
      </c>
      <c r="G581" s="10"/>
    </row>
    <row r="582" spans="1:7">
      <c r="A582" s="4">
        <v>579</v>
      </c>
      <c r="B582" s="5" t="s">
        <v>160</v>
      </c>
      <c r="C582" s="6" t="str">
        <f>"2020043606"</f>
        <v>2020043606</v>
      </c>
      <c r="D582" s="7">
        <v>76.099999999999994</v>
      </c>
      <c r="E582" s="8">
        <v>83.5</v>
      </c>
      <c r="F582" s="9">
        <f t="shared" si="10"/>
        <v>159.6</v>
      </c>
      <c r="G582" s="10"/>
    </row>
    <row r="583" spans="1:7">
      <c r="A583" s="4">
        <v>580</v>
      </c>
      <c r="B583" s="5" t="s">
        <v>160</v>
      </c>
      <c r="C583" s="6" t="str">
        <f>"2020030325"</f>
        <v>2020030325</v>
      </c>
      <c r="D583" s="7">
        <v>69.099999999999994</v>
      </c>
      <c r="E583" s="8">
        <v>88</v>
      </c>
      <c r="F583" s="9">
        <f t="shared" si="10"/>
        <v>157.1</v>
      </c>
      <c r="G583" s="10"/>
    </row>
    <row r="584" spans="1:7">
      <c r="A584" s="4">
        <v>581</v>
      </c>
      <c r="B584" s="5" t="s">
        <v>160</v>
      </c>
      <c r="C584" s="6" t="str">
        <f>"2020031607"</f>
        <v>2020031607</v>
      </c>
      <c r="D584" s="7">
        <v>76.599999999999994</v>
      </c>
      <c r="E584" s="8">
        <v>75.5</v>
      </c>
      <c r="F584" s="9">
        <f t="shared" si="10"/>
        <v>152.1</v>
      </c>
      <c r="G584" s="10"/>
    </row>
    <row r="585" spans="1:7">
      <c r="A585" s="4">
        <v>582</v>
      </c>
      <c r="B585" s="5" t="s">
        <v>161</v>
      </c>
      <c r="C585" s="6" t="str">
        <f>"2020030911"</f>
        <v>2020030911</v>
      </c>
      <c r="D585" s="7">
        <v>74.5</v>
      </c>
      <c r="E585" s="8">
        <v>70</v>
      </c>
      <c r="F585" s="9">
        <f t="shared" si="10"/>
        <v>144.5</v>
      </c>
      <c r="G585" s="10"/>
    </row>
    <row r="586" spans="1:7">
      <c r="A586" s="4">
        <v>583</v>
      </c>
      <c r="B586" s="5" t="s">
        <v>161</v>
      </c>
      <c r="C586" s="6" t="str">
        <f>"2020041409"</f>
        <v>2020041409</v>
      </c>
      <c r="D586" s="7">
        <v>70.400000000000006</v>
      </c>
      <c r="E586" s="8">
        <v>72</v>
      </c>
      <c r="F586" s="9">
        <f t="shared" si="10"/>
        <v>142.4</v>
      </c>
      <c r="G586" s="10"/>
    </row>
    <row r="587" spans="1:7">
      <c r="A587" s="4">
        <v>584</v>
      </c>
      <c r="B587" s="5" t="s">
        <v>161</v>
      </c>
      <c r="C587" s="6" t="str">
        <f>"2020031908"</f>
        <v>2020031908</v>
      </c>
      <c r="D587" s="7">
        <v>70.099999999999994</v>
      </c>
      <c r="E587" s="8">
        <v>68.5</v>
      </c>
      <c r="F587" s="9">
        <f t="shared" si="10"/>
        <v>138.6</v>
      </c>
      <c r="G587" s="10"/>
    </row>
    <row r="588" spans="1:7">
      <c r="A588" s="4">
        <v>585</v>
      </c>
      <c r="B588" s="5" t="s">
        <v>162</v>
      </c>
      <c r="C588" s="6" t="str">
        <f>"2020011805"</f>
        <v>2020011805</v>
      </c>
      <c r="D588" s="7">
        <v>73.400000000000006</v>
      </c>
      <c r="E588" s="8">
        <v>81</v>
      </c>
      <c r="F588" s="9">
        <f t="shared" si="10"/>
        <v>154.4</v>
      </c>
      <c r="G588" s="10"/>
    </row>
    <row r="589" spans="1:7">
      <c r="A589" s="4">
        <v>586</v>
      </c>
      <c r="B589" s="5" t="s">
        <v>162</v>
      </c>
      <c r="C589" s="6" t="str">
        <f>"2020047208"</f>
        <v>2020047208</v>
      </c>
      <c r="D589" s="7">
        <v>81.099999999999994</v>
      </c>
      <c r="E589" s="8">
        <v>69.5</v>
      </c>
      <c r="F589" s="9">
        <f t="shared" si="10"/>
        <v>150.6</v>
      </c>
      <c r="G589" s="10"/>
    </row>
    <row r="590" spans="1:7">
      <c r="A590" s="4">
        <v>587</v>
      </c>
      <c r="B590" s="5" t="s">
        <v>162</v>
      </c>
      <c r="C590" s="6" t="str">
        <f>"2020041328"</f>
        <v>2020041328</v>
      </c>
      <c r="D590" s="7">
        <v>76.099999999999994</v>
      </c>
      <c r="E590" s="8">
        <v>71</v>
      </c>
      <c r="F590" s="9">
        <f t="shared" si="10"/>
        <v>147.1</v>
      </c>
      <c r="G590" s="10"/>
    </row>
    <row r="591" spans="1:7">
      <c r="A591" s="4">
        <v>588</v>
      </c>
      <c r="B591" s="5" t="s">
        <v>163</v>
      </c>
      <c r="C591" s="6" t="str">
        <f>"2020042719"</f>
        <v>2020042719</v>
      </c>
      <c r="D591" s="7">
        <v>63.3</v>
      </c>
      <c r="E591" s="8">
        <v>80</v>
      </c>
      <c r="F591" s="9">
        <f t="shared" si="10"/>
        <v>143.30000000000001</v>
      </c>
      <c r="G591" s="10"/>
    </row>
    <row r="592" spans="1:7">
      <c r="A592" s="4">
        <v>589</v>
      </c>
      <c r="B592" s="5" t="s">
        <v>163</v>
      </c>
      <c r="C592" s="6" t="str">
        <f>"2020021110"</f>
        <v>2020021110</v>
      </c>
      <c r="D592" s="7">
        <v>70</v>
      </c>
      <c r="E592" s="8">
        <v>71.5</v>
      </c>
      <c r="F592" s="9">
        <f t="shared" si="10"/>
        <v>141.5</v>
      </c>
      <c r="G592" s="10"/>
    </row>
    <row r="593" spans="1:7">
      <c r="A593" s="4">
        <v>590</v>
      </c>
      <c r="B593" s="5" t="s">
        <v>163</v>
      </c>
      <c r="C593" s="6" t="str">
        <f>"2020023908"</f>
        <v>2020023908</v>
      </c>
      <c r="D593" s="7">
        <v>65.5</v>
      </c>
      <c r="E593" s="8">
        <v>73.5</v>
      </c>
      <c r="F593" s="9">
        <f t="shared" si="10"/>
        <v>139</v>
      </c>
      <c r="G593" s="10"/>
    </row>
    <row r="594" spans="1:7">
      <c r="A594" s="4">
        <v>591</v>
      </c>
      <c r="B594" s="5" t="s">
        <v>164</v>
      </c>
      <c r="C594" s="6" t="str">
        <f>"2020041917"</f>
        <v>2020041917</v>
      </c>
      <c r="D594" s="7">
        <v>75.2</v>
      </c>
      <c r="E594" s="8">
        <v>79.5</v>
      </c>
      <c r="F594" s="9">
        <f t="shared" si="10"/>
        <v>154.69999999999999</v>
      </c>
      <c r="G594" s="10"/>
    </row>
    <row r="595" spans="1:7">
      <c r="A595" s="4">
        <v>592</v>
      </c>
      <c r="B595" s="5" t="s">
        <v>164</v>
      </c>
      <c r="C595" s="6" t="str">
        <f>"2020031124"</f>
        <v>2020031124</v>
      </c>
      <c r="D595" s="7">
        <v>74.099999999999994</v>
      </c>
      <c r="E595" s="8">
        <v>79</v>
      </c>
      <c r="F595" s="9">
        <f t="shared" si="10"/>
        <v>153.1</v>
      </c>
      <c r="G595" s="10"/>
    </row>
    <row r="596" spans="1:7">
      <c r="A596" s="4">
        <v>593</v>
      </c>
      <c r="B596" s="5" t="s">
        <v>164</v>
      </c>
      <c r="C596" s="6" t="str">
        <f>"2020047215"</f>
        <v>2020047215</v>
      </c>
      <c r="D596" s="7">
        <v>70.3</v>
      </c>
      <c r="E596" s="8">
        <v>77</v>
      </c>
      <c r="F596" s="9">
        <f t="shared" si="10"/>
        <v>147.30000000000001</v>
      </c>
      <c r="G596" s="10"/>
    </row>
    <row r="597" spans="1:7">
      <c r="A597" s="4">
        <v>594</v>
      </c>
      <c r="B597" s="5" t="s">
        <v>164</v>
      </c>
      <c r="C597" s="6" t="str">
        <f>"2020044519"</f>
        <v>2020044519</v>
      </c>
      <c r="D597" s="7">
        <v>77.599999999999994</v>
      </c>
      <c r="E597" s="8">
        <v>67.5</v>
      </c>
      <c r="F597" s="9">
        <f t="shared" si="10"/>
        <v>145.1</v>
      </c>
      <c r="G597" s="10"/>
    </row>
    <row r="598" spans="1:7">
      <c r="A598" s="4">
        <v>595</v>
      </c>
      <c r="B598" s="5" t="s">
        <v>164</v>
      </c>
      <c r="C598" s="6" t="str">
        <f>"2020012829"</f>
        <v>2020012829</v>
      </c>
      <c r="D598" s="7">
        <v>66.900000000000006</v>
      </c>
      <c r="E598" s="8">
        <v>76</v>
      </c>
      <c r="F598" s="9">
        <f t="shared" si="10"/>
        <v>142.9</v>
      </c>
      <c r="G598" s="10"/>
    </row>
    <row r="599" spans="1:7">
      <c r="A599" s="4">
        <v>596</v>
      </c>
      <c r="B599" s="5" t="s">
        <v>164</v>
      </c>
      <c r="C599" s="6" t="str">
        <f>"2020043423"</f>
        <v>2020043423</v>
      </c>
      <c r="D599" s="7">
        <v>78.3</v>
      </c>
      <c r="E599" s="8">
        <v>64.5</v>
      </c>
      <c r="F599" s="9">
        <f t="shared" ref="F599:F662" si="11">SUM(D599:E599)</f>
        <v>142.80000000000001</v>
      </c>
      <c r="G599" s="10"/>
    </row>
    <row r="600" spans="1:7">
      <c r="A600" s="4">
        <v>597</v>
      </c>
      <c r="B600" s="5" t="s">
        <v>165</v>
      </c>
      <c r="C600" s="6" t="str">
        <f>"2020031802"</f>
        <v>2020031802</v>
      </c>
      <c r="D600" s="7">
        <v>63.9</v>
      </c>
      <c r="E600" s="8">
        <v>74.5</v>
      </c>
      <c r="F600" s="9">
        <f t="shared" si="11"/>
        <v>138.4</v>
      </c>
      <c r="G600" s="10"/>
    </row>
    <row r="601" spans="1:7">
      <c r="A601" s="4">
        <v>598</v>
      </c>
      <c r="B601" s="5" t="s">
        <v>165</v>
      </c>
      <c r="C601" s="6" t="str">
        <f>"2020032321"</f>
        <v>2020032321</v>
      </c>
      <c r="D601" s="7">
        <v>63.2</v>
      </c>
      <c r="E601" s="8">
        <v>59.5</v>
      </c>
      <c r="F601" s="9">
        <f t="shared" si="11"/>
        <v>122.7</v>
      </c>
      <c r="G601" s="10"/>
    </row>
    <row r="602" spans="1:7">
      <c r="A602" s="4">
        <v>599</v>
      </c>
      <c r="B602" s="5" t="s">
        <v>165</v>
      </c>
      <c r="C602" s="6" t="str">
        <f>"2020022220"</f>
        <v>2020022220</v>
      </c>
      <c r="D602" s="7">
        <v>60.8</v>
      </c>
      <c r="E602" s="8">
        <v>54</v>
      </c>
      <c r="F602" s="9">
        <f t="shared" si="11"/>
        <v>114.8</v>
      </c>
      <c r="G602" s="10"/>
    </row>
    <row r="603" spans="1:7">
      <c r="A603" s="4">
        <v>600</v>
      </c>
      <c r="B603" s="5" t="s">
        <v>166</v>
      </c>
      <c r="C603" s="6" t="str">
        <f>"2020021016"</f>
        <v>2020021016</v>
      </c>
      <c r="D603" s="7">
        <v>71.099999999999994</v>
      </c>
      <c r="E603" s="8">
        <v>85.5</v>
      </c>
      <c r="F603" s="9">
        <f t="shared" si="11"/>
        <v>156.6</v>
      </c>
      <c r="G603" s="10"/>
    </row>
    <row r="604" spans="1:7">
      <c r="A604" s="4">
        <v>601</v>
      </c>
      <c r="B604" s="5" t="s">
        <v>166</v>
      </c>
      <c r="C604" s="6" t="str">
        <f>"2020021229"</f>
        <v>2020021229</v>
      </c>
      <c r="D604" s="7">
        <v>72.7</v>
      </c>
      <c r="E604" s="8">
        <v>78</v>
      </c>
      <c r="F604" s="9">
        <f t="shared" si="11"/>
        <v>150.69999999999999</v>
      </c>
      <c r="G604" s="10"/>
    </row>
    <row r="605" spans="1:7">
      <c r="A605" s="4">
        <v>602</v>
      </c>
      <c r="B605" s="5" t="s">
        <v>167</v>
      </c>
      <c r="C605" s="6" t="str">
        <f>"2020024603"</f>
        <v>2020024603</v>
      </c>
      <c r="D605" s="7">
        <v>69.8</v>
      </c>
      <c r="E605" s="8">
        <v>74</v>
      </c>
      <c r="F605" s="9">
        <f t="shared" si="11"/>
        <v>143.80000000000001</v>
      </c>
      <c r="G605" s="10"/>
    </row>
    <row r="606" spans="1:7">
      <c r="A606" s="4">
        <v>603</v>
      </c>
      <c r="B606" s="5" t="s">
        <v>167</v>
      </c>
      <c r="C606" s="6" t="str">
        <f>"2020031719"</f>
        <v>2020031719</v>
      </c>
      <c r="D606" s="7">
        <v>67.2</v>
      </c>
      <c r="E606" s="8">
        <v>60</v>
      </c>
      <c r="F606" s="9">
        <f t="shared" si="11"/>
        <v>127.2</v>
      </c>
      <c r="G606" s="10"/>
    </row>
    <row r="607" spans="1:7">
      <c r="A607" s="4">
        <v>604</v>
      </c>
      <c r="B607" s="5" t="s">
        <v>168</v>
      </c>
      <c r="C607" s="6" t="str">
        <f>"2020041211"</f>
        <v>2020041211</v>
      </c>
      <c r="D607" s="7">
        <v>79.5</v>
      </c>
      <c r="E607" s="8">
        <v>84.5</v>
      </c>
      <c r="F607" s="9">
        <f t="shared" si="11"/>
        <v>164</v>
      </c>
      <c r="G607" s="10"/>
    </row>
    <row r="608" spans="1:7">
      <c r="A608" s="4">
        <v>605</v>
      </c>
      <c r="B608" s="5" t="s">
        <v>168</v>
      </c>
      <c r="C608" s="6" t="str">
        <f>"2020010427"</f>
        <v>2020010427</v>
      </c>
      <c r="D608" s="7">
        <v>74.900000000000006</v>
      </c>
      <c r="E608" s="8">
        <v>87</v>
      </c>
      <c r="F608" s="9">
        <f t="shared" si="11"/>
        <v>161.9</v>
      </c>
      <c r="G608" s="10"/>
    </row>
    <row r="609" spans="1:7">
      <c r="A609" s="4">
        <v>606</v>
      </c>
      <c r="B609" s="5" t="s">
        <v>168</v>
      </c>
      <c r="C609" s="6" t="str">
        <f>"2020042918"</f>
        <v>2020042918</v>
      </c>
      <c r="D609" s="7">
        <v>80.7</v>
      </c>
      <c r="E609" s="8">
        <v>80.5</v>
      </c>
      <c r="F609" s="9">
        <f t="shared" si="11"/>
        <v>161.19999999999999</v>
      </c>
      <c r="G609" s="10"/>
    </row>
    <row r="610" spans="1:7">
      <c r="A610" s="4">
        <v>607</v>
      </c>
      <c r="B610" s="5" t="s">
        <v>169</v>
      </c>
      <c r="C610" s="6" t="str">
        <f>"2020044025"</f>
        <v>2020044025</v>
      </c>
      <c r="D610" s="7">
        <v>76.599999999999994</v>
      </c>
      <c r="E610" s="8">
        <v>83.5</v>
      </c>
      <c r="F610" s="9">
        <f t="shared" si="11"/>
        <v>160.1</v>
      </c>
      <c r="G610" s="10"/>
    </row>
    <row r="611" spans="1:7">
      <c r="A611" s="4">
        <v>608</v>
      </c>
      <c r="B611" s="5" t="s">
        <v>169</v>
      </c>
      <c r="C611" s="6" t="str">
        <f>"2020042419"</f>
        <v>2020042419</v>
      </c>
      <c r="D611" s="7">
        <v>65.900000000000006</v>
      </c>
      <c r="E611" s="8">
        <v>74</v>
      </c>
      <c r="F611" s="9">
        <f t="shared" si="11"/>
        <v>139.9</v>
      </c>
      <c r="G611" s="10"/>
    </row>
    <row r="612" spans="1:7">
      <c r="A612" s="4">
        <v>609</v>
      </c>
      <c r="B612" s="5" t="s">
        <v>169</v>
      </c>
      <c r="C612" s="6" t="str">
        <f>"2020010520"</f>
        <v>2020010520</v>
      </c>
      <c r="D612" s="7">
        <v>72.3</v>
      </c>
      <c r="E612" s="8">
        <v>57.5</v>
      </c>
      <c r="F612" s="9">
        <f t="shared" si="11"/>
        <v>129.80000000000001</v>
      </c>
      <c r="G612" s="10"/>
    </row>
    <row r="613" spans="1:7">
      <c r="A613" s="4">
        <v>610</v>
      </c>
      <c r="B613" s="5" t="s">
        <v>170</v>
      </c>
      <c r="C613" s="6" t="str">
        <f>"2020043602"</f>
        <v>2020043602</v>
      </c>
      <c r="D613" s="7">
        <v>74.400000000000006</v>
      </c>
      <c r="E613" s="8">
        <v>71</v>
      </c>
      <c r="F613" s="9">
        <f t="shared" si="11"/>
        <v>145.4</v>
      </c>
      <c r="G613" s="10"/>
    </row>
    <row r="614" spans="1:7">
      <c r="A614" s="4">
        <v>611</v>
      </c>
      <c r="B614" s="5" t="s">
        <v>170</v>
      </c>
      <c r="C614" s="6" t="str">
        <f>"2020010924"</f>
        <v>2020010924</v>
      </c>
      <c r="D614" s="7">
        <v>73.2</v>
      </c>
      <c r="E614" s="8">
        <v>70</v>
      </c>
      <c r="F614" s="9">
        <f t="shared" si="11"/>
        <v>143.19999999999999</v>
      </c>
      <c r="G614" s="10"/>
    </row>
    <row r="615" spans="1:7">
      <c r="A615" s="4">
        <v>612</v>
      </c>
      <c r="B615" s="5" t="s">
        <v>170</v>
      </c>
      <c r="C615" s="6" t="str">
        <f>"2020041322"</f>
        <v>2020041322</v>
      </c>
      <c r="D615" s="7">
        <v>73.900000000000006</v>
      </c>
      <c r="E615" s="8">
        <v>66.5</v>
      </c>
      <c r="F615" s="9">
        <f t="shared" si="11"/>
        <v>140.4</v>
      </c>
      <c r="G615" s="10"/>
    </row>
    <row r="616" spans="1:7">
      <c r="A616" s="4">
        <v>613</v>
      </c>
      <c r="B616" s="5" t="s">
        <v>170</v>
      </c>
      <c r="C616" s="6" t="str">
        <f>"2020012412"</f>
        <v>2020012412</v>
      </c>
      <c r="D616" s="7">
        <v>62</v>
      </c>
      <c r="E616" s="8">
        <v>73</v>
      </c>
      <c r="F616" s="9">
        <f t="shared" si="11"/>
        <v>135</v>
      </c>
      <c r="G616" s="10"/>
    </row>
    <row r="617" spans="1:7">
      <c r="A617" s="4">
        <v>614</v>
      </c>
      <c r="B617" s="5" t="s">
        <v>170</v>
      </c>
      <c r="C617" s="6" t="str">
        <f>"2020040622"</f>
        <v>2020040622</v>
      </c>
      <c r="D617" s="7">
        <v>68.900000000000006</v>
      </c>
      <c r="E617" s="8">
        <v>64.5</v>
      </c>
      <c r="F617" s="9">
        <f t="shared" si="11"/>
        <v>133.4</v>
      </c>
      <c r="G617" s="10"/>
    </row>
    <row r="618" spans="1:7">
      <c r="A618" s="4">
        <v>615</v>
      </c>
      <c r="B618" s="5" t="s">
        <v>170</v>
      </c>
      <c r="C618" s="6" t="str">
        <f>"2020010912"</f>
        <v>2020010912</v>
      </c>
      <c r="D618" s="7">
        <v>65.7</v>
      </c>
      <c r="E618" s="8">
        <v>65</v>
      </c>
      <c r="F618" s="9">
        <f t="shared" si="11"/>
        <v>130.69999999999999</v>
      </c>
      <c r="G618" s="10"/>
    </row>
    <row r="619" spans="1:7">
      <c r="A619" s="4">
        <v>616</v>
      </c>
      <c r="B619" s="5" t="s">
        <v>170</v>
      </c>
      <c r="C619" s="6" t="str">
        <f>"2020046125"</f>
        <v>2020046125</v>
      </c>
      <c r="D619" s="7">
        <v>62</v>
      </c>
      <c r="E619" s="8">
        <v>54</v>
      </c>
      <c r="F619" s="9">
        <f t="shared" si="11"/>
        <v>116</v>
      </c>
      <c r="G619" s="10"/>
    </row>
    <row r="620" spans="1:7">
      <c r="A620" s="4">
        <v>617</v>
      </c>
      <c r="B620" s="5" t="s">
        <v>170</v>
      </c>
      <c r="C620" s="6" t="str">
        <f>"2020023016"</f>
        <v>2020023016</v>
      </c>
      <c r="D620" s="7">
        <v>68.3</v>
      </c>
      <c r="E620" s="8">
        <v>47.5</v>
      </c>
      <c r="F620" s="9">
        <f t="shared" si="11"/>
        <v>115.8</v>
      </c>
      <c r="G620" s="10"/>
    </row>
    <row r="621" spans="1:7">
      <c r="A621" s="4">
        <v>618</v>
      </c>
      <c r="B621" s="5" t="s">
        <v>171</v>
      </c>
      <c r="C621" s="6" t="str">
        <f>"2020023311"</f>
        <v>2020023311</v>
      </c>
      <c r="D621" s="7">
        <v>73.5</v>
      </c>
      <c r="E621" s="8">
        <v>83.5</v>
      </c>
      <c r="F621" s="9">
        <f t="shared" si="11"/>
        <v>157</v>
      </c>
      <c r="G621" s="10"/>
    </row>
    <row r="622" spans="1:7">
      <c r="A622" s="4">
        <v>619</v>
      </c>
      <c r="B622" s="5" t="s">
        <v>171</v>
      </c>
      <c r="C622" s="6" t="str">
        <f>"2020024319"</f>
        <v>2020024319</v>
      </c>
      <c r="D622" s="7">
        <v>75.400000000000006</v>
      </c>
      <c r="E622" s="8">
        <v>77</v>
      </c>
      <c r="F622" s="9">
        <f t="shared" si="11"/>
        <v>152.4</v>
      </c>
      <c r="G622" s="10"/>
    </row>
    <row r="623" spans="1:7">
      <c r="A623" s="4">
        <v>620</v>
      </c>
      <c r="B623" s="5" t="s">
        <v>171</v>
      </c>
      <c r="C623" s="6" t="str">
        <f>"2020041605"</f>
        <v>2020041605</v>
      </c>
      <c r="D623" s="7">
        <v>72.8</v>
      </c>
      <c r="E623" s="8">
        <v>75</v>
      </c>
      <c r="F623" s="9">
        <f t="shared" si="11"/>
        <v>147.80000000000001</v>
      </c>
      <c r="G623" s="10"/>
    </row>
    <row r="624" spans="1:7">
      <c r="A624" s="4">
        <v>621</v>
      </c>
      <c r="B624" s="5" t="s">
        <v>172</v>
      </c>
      <c r="C624" s="6" t="str">
        <f>"2020042829"</f>
        <v>2020042829</v>
      </c>
      <c r="D624" s="7">
        <v>73.599999999999994</v>
      </c>
      <c r="E624" s="8">
        <v>78.5</v>
      </c>
      <c r="F624" s="9">
        <f t="shared" si="11"/>
        <v>152.1</v>
      </c>
      <c r="G624" s="10"/>
    </row>
    <row r="625" spans="1:7">
      <c r="A625" s="4">
        <v>622</v>
      </c>
      <c r="B625" s="5" t="s">
        <v>172</v>
      </c>
      <c r="C625" s="6" t="str">
        <f>"2020046919"</f>
        <v>2020046919</v>
      </c>
      <c r="D625" s="7">
        <v>69.900000000000006</v>
      </c>
      <c r="E625" s="8">
        <v>79</v>
      </c>
      <c r="F625" s="9">
        <f t="shared" si="11"/>
        <v>148.9</v>
      </c>
      <c r="G625" s="10"/>
    </row>
    <row r="626" spans="1:7">
      <c r="A626" s="4">
        <v>623</v>
      </c>
      <c r="B626" s="5" t="s">
        <v>172</v>
      </c>
      <c r="C626" s="6" t="str">
        <f>"2020042013"</f>
        <v>2020042013</v>
      </c>
      <c r="D626" s="7">
        <v>69.599999999999994</v>
      </c>
      <c r="E626" s="8">
        <v>74.5</v>
      </c>
      <c r="F626" s="9">
        <f t="shared" si="11"/>
        <v>144.1</v>
      </c>
      <c r="G626" s="10"/>
    </row>
    <row r="627" spans="1:7">
      <c r="A627" s="4">
        <v>624</v>
      </c>
      <c r="B627" s="5" t="s">
        <v>173</v>
      </c>
      <c r="C627" s="6" t="str">
        <f>"2020040207"</f>
        <v>2020040207</v>
      </c>
      <c r="D627" s="7">
        <v>70.900000000000006</v>
      </c>
      <c r="E627" s="8">
        <v>78</v>
      </c>
      <c r="F627" s="9">
        <f t="shared" si="11"/>
        <v>148.9</v>
      </c>
      <c r="G627" s="10"/>
    </row>
    <row r="628" spans="1:7">
      <c r="A628" s="4">
        <v>625</v>
      </c>
      <c r="B628" s="5" t="s">
        <v>173</v>
      </c>
      <c r="C628" s="6" t="str">
        <f>"2020047114"</f>
        <v>2020047114</v>
      </c>
      <c r="D628" s="7">
        <v>67</v>
      </c>
      <c r="E628" s="8">
        <v>81</v>
      </c>
      <c r="F628" s="9">
        <f t="shared" si="11"/>
        <v>148</v>
      </c>
      <c r="G628" s="10"/>
    </row>
    <row r="629" spans="1:7">
      <c r="A629" s="4">
        <v>626</v>
      </c>
      <c r="B629" s="5" t="s">
        <v>173</v>
      </c>
      <c r="C629" s="6" t="str">
        <f>"2020040905"</f>
        <v>2020040905</v>
      </c>
      <c r="D629" s="7">
        <v>65.7</v>
      </c>
      <c r="E629" s="8">
        <v>63.5</v>
      </c>
      <c r="F629" s="9">
        <f t="shared" si="11"/>
        <v>129.19999999999999</v>
      </c>
      <c r="G629" s="10"/>
    </row>
    <row r="630" spans="1:7">
      <c r="A630" s="4">
        <v>627</v>
      </c>
      <c r="B630" s="5" t="s">
        <v>174</v>
      </c>
      <c r="C630" s="6" t="str">
        <f>"2020013820"</f>
        <v>2020013820</v>
      </c>
      <c r="D630" s="7">
        <v>62.1</v>
      </c>
      <c r="E630" s="8">
        <v>76.5</v>
      </c>
      <c r="F630" s="9">
        <f t="shared" si="11"/>
        <v>138.6</v>
      </c>
      <c r="G630" s="10"/>
    </row>
    <row r="631" spans="1:7">
      <c r="A631" s="4">
        <v>628</v>
      </c>
      <c r="B631" s="5" t="s">
        <v>174</v>
      </c>
      <c r="C631" s="6" t="str">
        <f>"2020044525"</f>
        <v>2020044525</v>
      </c>
      <c r="D631" s="7">
        <v>60.3</v>
      </c>
      <c r="E631" s="8">
        <v>74.5</v>
      </c>
      <c r="F631" s="9">
        <f t="shared" si="11"/>
        <v>134.80000000000001</v>
      </c>
      <c r="G631" s="10"/>
    </row>
    <row r="632" spans="1:7">
      <c r="A632" s="4">
        <v>629</v>
      </c>
      <c r="B632" s="5" t="s">
        <v>174</v>
      </c>
      <c r="C632" s="6" t="str">
        <f>"2020010110"</f>
        <v>2020010110</v>
      </c>
      <c r="D632" s="7">
        <v>67.2</v>
      </c>
      <c r="E632" s="8">
        <v>66</v>
      </c>
      <c r="F632" s="9">
        <f t="shared" si="11"/>
        <v>133.19999999999999</v>
      </c>
      <c r="G632" s="10"/>
    </row>
    <row r="633" spans="1:7">
      <c r="A633" s="4">
        <v>630</v>
      </c>
      <c r="B633" s="5" t="s">
        <v>174</v>
      </c>
      <c r="C633" s="6" t="str">
        <f>"2020031320"</f>
        <v>2020031320</v>
      </c>
      <c r="D633" s="7">
        <v>68.400000000000006</v>
      </c>
      <c r="E633" s="8">
        <v>61</v>
      </c>
      <c r="F633" s="9">
        <f t="shared" si="11"/>
        <v>129.4</v>
      </c>
      <c r="G633" s="10"/>
    </row>
    <row r="634" spans="1:7">
      <c r="A634" s="4">
        <v>631</v>
      </c>
      <c r="B634" s="5" t="s">
        <v>174</v>
      </c>
      <c r="C634" s="6" t="str">
        <f>"2020046605"</f>
        <v>2020046605</v>
      </c>
      <c r="D634" s="7">
        <v>65.3</v>
      </c>
      <c r="E634" s="8">
        <v>62</v>
      </c>
      <c r="F634" s="9">
        <f t="shared" si="11"/>
        <v>127.3</v>
      </c>
      <c r="G634" s="10"/>
    </row>
    <row r="635" spans="1:7">
      <c r="A635" s="4">
        <v>632</v>
      </c>
      <c r="B635" s="5" t="s">
        <v>174</v>
      </c>
      <c r="C635" s="6" t="str">
        <f>"2020023514"</f>
        <v>2020023514</v>
      </c>
      <c r="D635" s="7">
        <v>60.7</v>
      </c>
      <c r="E635" s="8">
        <v>63.5</v>
      </c>
      <c r="F635" s="9">
        <f t="shared" si="11"/>
        <v>124.2</v>
      </c>
      <c r="G635" s="10"/>
    </row>
    <row r="636" spans="1:7">
      <c r="A636" s="4">
        <v>633</v>
      </c>
      <c r="B636" s="5" t="s">
        <v>174</v>
      </c>
      <c r="C636" s="6" t="str">
        <f>"2020040913"</f>
        <v>2020040913</v>
      </c>
      <c r="D636" s="7">
        <v>65.5</v>
      </c>
      <c r="E636" s="8">
        <v>58.5</v>
      </c>
      <c r="F636" s="9">
        <f t="shared" si="11"/>
        <v>124</v>
      </c>
      <c r="G636" s="10"/>
    </row>
    <row r="637" spans="1:7">
      <c r="A637" s="4">
        <v>634</v>
      </c>
      <c r="B637" s="5" t="s">
        <v>174</v>
      </c>
      <c r="C637" s="6" t="str">
        <f>"2020033326"</f>
        <v>2020033326</v>
      </c>
      <c r="D637" s="7">
        <v>60.8</v>
      </c>
      <c r="E637" s="8">
        <v>63</v>
      </c>
      <c r="F637" s="9">
        <f t="shared" si="11"/>
        <v>123.8</v>
      </c>
      <c r="G637" s="10"/>
    </row>
    <row r="638" spans="1:7">
      <c r="A638" s="4">
        <v>635</v>
      </c>
      <c r="B638" s="5" t="s">
        <v>174</v>
      </c>
      <c r="C638" s="6" t="str">
        <f>"2020011518"</f>
        <v>2020011518</v>
      </c>
      <c r="D638" s="7">
        <v>66.599999999999994</v>
      </c>
      <c r="E638" s="8">
        <v>57</v>
      </c>
      <c r="F638" s="9">
        <f t="shared" si="11"/>
        <v>123.6</v>
      </c>
      <c r="G638" s="10"/>
    </row>
    <row r="639" spans="1:7">
      <c r="A639" s="4">
        <v>636</v>
      </c>
      <c r="B639" s="5" t="s">
        <v>174</v>
      </c>
      <c r="C639" s="6" t="str">
        <f>"2020047306"</f>
        <v>2020047306</v>
      </c>
      <c r="D639" s="7">
        <v>73.3</v>
      </c>
      <c r="E639" s="8">
        <v>50</v>
      </c>
      <c r="F639" s="9">
        <f t="shared" si="11"/>
        <v>123.3</v>
      </c>
      <c r="G639" s="10"/>
    </row>
    <row r="640" spans="1:7">
      <c r="A640" s="4">
        <v>637</v>
      </c>
      <c r="B640" s="5" t="s">
        <v>174</v>
      </c>
      <c r="C640" s="6" t="str">
        <f>"2020022914"</f>
        <v>2020022914</v>
      </c>
      <c r="D640" s="7">
        <v>73.5</v>
      </c>
      <c r="E640" s="8">
        <v>49</v>
      </c>
      <c r="F640" s="9">
        <f t="shared" si="11"/>
        <v>122.5</v>
      </c>
      <c r="G640" s="10"/>
    </row>
    <row r="641" spans="1:7">
      <c r="A641" s="4">
        <v>638</v>
      </c>
      <c r="B641" s="5" t="s">
        <v>174</v>
      </c>
      <c r="C641" s="6" t="str">
        <f>"2020040326"</f>
        <v>2020040326</v>
      </c>
      <c r="D641" s="7">
        <v>59</v>
      </c>
      <c r="E641" s="8">
        <v>63.5</v>
      </c>
      <c r="F641" s="9">
        <f t="shared" si="11"/>
        <v>122.5</v>
      </c>
      <c r="G641" s="10"/>
    </row>
    <row r="642" spans="1:7">
      <c r="A642" s="4">
        <v>639</v>
      </c>
      <c r="B642" s="5" t="s">
        <v>175</v>
      </c>
      <c r="C642" s="6" t="str">
        <f>"2020021123"</f>
        <v>2020021123</v>
      </c>
      <c r="D642" s="7">
        <v>68.5</v>
      </c>
      <c r="E642" s="8">
        <v>75</v>
      </c>
      <c r="F642" s="9">
        <f t="shared" si="11"/>
        <v>143.5</v>
      </c>
      <c r="G642" s="10"/>
    </row>
    <row r="643" spans="1:7">
      <c r="A643" s="4">
        <v>640</v>
      </c>
      <c r="B643" s="5" t="s">
        <v>175</v>
      </c>
      <c r="C643" s="6" t="str">
        <f>"2020044010"</f>
        <v>2020044010</v>
      </c>
      <c r="D643" s="7">
        <v>68.900000000000006</v>
      </c>
      <c r="E643" s="8">
        <v>68.5</v>
      </c>
      <c r="F643" s="9">
        <f t="shared" si="11"/>
        <v>137.4</v>
      </c>
      <c r="G643" s="10"/>
    </row>
    <row r="644" spans="1:7">
      <c r="A644" s="4">
        <v>641</v>
      </c>
      <c r="B644" s="5" t="s">
        <v>175</v>
      </c>
      <c r="C644" s="6" t="str">
        <f>"2020023902"</f>
        <v>2020023902</v>
      </c>
      <c r="D644" s="7">
        <v>64.400000000000006</v>
      </c>
      <c r="E644" s="8">
        <v>69</v>
      </c>
      <c r="F644" s="9">
        <f t="shared" si="11"/>
        <v>133.4</v>
      </c>
      <c r="G644" s="10"/>
    </row>
    <row r="645" spans="1:7">
      <c r="A645" s="4">
        <v>642</v>
      </c>
      <c r="B645" s="5" t="s">
        <v>176</v>
      </c>
      <c r="C645" s="6" t="str">
        <f>"2020012626"</f>
        <v>2020012626</v>
      </c>
      <c r="D645" s="7">
        <v>65</v>
      </c>
      <c r="E645" s="8">
        <v>89.5</v>
      </c>
      <c r="F645" s="9">
        <f t="shared" si="11"/>
        <v>154.5</v>
      </c>
      <c r="G645" s="10"/>
    </row>
    <row r="646" spans="1:7">
      <c r="A646" s="4">
        <v>643</v>
      </c>
      <c r="B646" s="5" t="s">
        <v>176</v>
      </c>
      <c r="C646" s="6" t="str">
        <f>"2020022216"</f>
        <v>2020022216</v>
      </c>
      <c r="D646" s="7">
        <v>71.599999999999994</v>
      </c>
      <c r="E646" s="8">
        <v>77.5</v>
      </c>
      <c r="F646" s="9">
        <f t="shared" si="11"/>
        <v>149.1</v>
      </c>
      <c r="G646" s="10"/>
    </row>
    <row r="647" spans="1:7">
      <c r="A647" s="4">
        <v>644</v>
      </c>
      <c r="B647" s="5" t="s">
        <v>176</v>
      </c>
      <c r="C647" s="6" t="str">
        <f>"2020033324"</f>
        <v>2020033324</v>
      </c>
      <c r="D647" s="7">
        <v>69.400000000000006</v>
      </c>
      <c r="E647" s="8">
        <v>78</v>
      </c>
      <c r="F647" s="9">
        <f t="shared" si="11"/>
        <v>147.4</v>
      </c>
      <c r="G647" s="10"/>
    </row>
    <row r="648" spans="1:7">
      <c r="A648" s="4">
        <v>645</v>
      </c>
      <c r="B648" s="5" t="s">
        <v>177</v>
      </c>
      <c r="C648" s="6" t="str">
        <f>"2020022509"</f>
        <v>2020022509</v>
      </c>
      <c r="D648" s="7">
        <v>70.7</v>
      </c>
      <c r="E648" s="8">
        <v>66.5</v>
      </c>
      <c r="F648" s="9">
        <f t="shared" si="11"/>
        <v>137.19999999999999</v>
      </c>
      <c r="G648" s="10"/>
    </row>
    <row r="649" spans="1:7">
      <c r="A649" s="4">
        <v>646</v>
      </c>
      <c r="B649" s="5" t="s">
        <v>177</v>
      </c>
      <c r="C649" s="6" t="str">
        <f>"2020033717"</f>
        <v>2020033717</v>
      </c>
      <c r="D649" s="7">
        <v>62.4</v>
      </c>
      <c r="E649" s="8">
        <v>72</v>
      </c>
      <c r="F649" s="9">
        <f t="shared" si="11"/>
        <v>134.4</v>
      </c>
      <c r="G649" s="10"/>
    </row>
    <row r="650" spans="1:7">
      <c r="A650" s="4">
        <v>647</v>
      </c>
      <c r="B650" s="5" t="s">
        <v>177</v>
      </c>
      <c r="C650" s="6" t="str">
        <f>"2020024709"</f>
        <v>2020024709</v>
      </c>
      <c r="D650" s="7">
        <v>66.900000000000006</v>
      </c>
      <c r="E650" s="8">
        <v>65.5</v>
      </c>
      <c r="F650" s="9">
        <f t="shared" si="11"/>
        <v>132.4</v>
      </c>
      <c r="G650" s="10"/>
    </row>
    <row r="651" spans="1:7">
      <c r="A651" s="4">
        <v>648</v>
      </c>
      <c r="B651" s="5" t="s">
        <v>177</v>
      </c>
      <c r="C651" s="6" t="str">
        <f>"2020041519"</f>
        <v>2020041519</v>
      </c>
      <c r="D651" s="7">
        <v>64.900000000000006</v>
      </c>
      <c r="E651" s="8">
        <v>62.5</v>
      </c>
      <c r="F651" s="9">
        <f t="shared" si="11"/>
        <v>127.4</v>
      </c>
      <c r="G651" s="10"/>
    </row>
    <row r="652" spans="1:7">
      <c r="A652" s="4">
        <v>649</v>
      </c>
      <c r="B652" s="5" t="s">
        <v>177</v>
      </c>
      <c r="C652" s="6" t="str">
        <f>"2020032721"</f>
        <v>2020032721</v>
      </c>
      <c r="D652" s="7">
        <v>64.900000000000006</v>
      </c>
      <c r="E652" s="8">
        <v>58.5</v>
      </c>
      <c r="F652" s="9">
        <f t="shared" si="11"/>
        <v>123.4</v>
      </c>
      <c r="G652" s="10"/>
    </row>
    <row r="653" spans="1:7">
      <c r="A653" s="4">
        <v>650</v>
      </c>
      <c r="B653" s="5" t="s">
        <v>177</v>
      </c>
      <c r="C653" s="6" t="str">
        <f>"2020031901"</f>
        <v>2020031901</v>
      </c>
      <c r="D653" s="7">
        <v>61.9</v>
      </c>
      <c r="E653" s="8">
        <v>59.5</v>
      </c>
      <c r="F653" s="9">
        <f t="shared" si="11"/>
        <v>121.4</v>
      </c>
      <c r="G653" s="10"/>
    </row>
    <row r="654" spans="1:7">
      <c r="A654" s="4">
        <v>651</v>
      </c>
      <c r="B654" s="5" t="s">
        <v>178</v>
      </c>
      <c r="C654" s="6" t="str">
        <f>"2020022818"</f>
        <v>2020022818</v>
      </c>
      <c r="D654" s="7">
        <v>76.8</v>
      </c>
      <c r="E654" s="8">
        <v>79</v>
      </c>
      <c r="F654" s="9">
        <f t="shared" si="11"/>
        <v>155.80000000000001</v>
      </c>
      <c r="G654" s="10"/>
    </row>
    <row r="655" spans="1:7">
      <c r="A655" s="4">
        <v>652</v>
      </c>
      <c r="B655" s="5" t="s">
        <v>178</v>
      </c>
      <c r="C655" s="6" t="str">
        <f>"2020010121"</f>
        <v>2020010121</v>
      </c>
      <c r="D655" s="7">
        <v>70.5</v>
      </c>
      <c r="E655" s="8">
        <v>79.5</v>
      </c>
      <c r="F655" s="9">
        <f t="shared" si="11"/>
        <v>150</v>
      </c>
      <c r="G655" s="10"/>
    </row>
    <row r="656" spans="1:7">
      <c r="A656" s="4">
        <v>653</v>
      </c>
      <c r="B656" s="5" t="s">
        <v>178</v>
      </c>
      <c r="C656" s="6" t="str">
        <f>"2020047423"</f>
        <v>2020047423</v>
      </c>
      <c r="D656" s="7">
        <v>73.8</v>
      </c>
      <c r="E656" s="8">
        <v>75.5</v>
      </c>
      <c r="F656" s="9">
        <f t="shared" si="11"/>
        <v>149.30000000000001</v>
      </c>
      <c r="G656" s="10"/>
    </row>
    <row r="657" spans="1:7">
      <c r="A657" s="4">
        <v>654</v>
      </c>
      <c r="B657" s="5" t="s">
        <v>178</v>
      </c>
      <c r="C657" s="6" t="str">
        <f>"2020043422"</f>
        <v>2020043422</v>
      </c>
      <c r="D657" s="7">
        <v>60.9</v>
      </c>
      <c r="E657" s="8">
        <v>88</v>
      </c>
      <c r="F657" s="9">
        <f t="shared" si="11"/>
        <v>148.9</v>
      </c>
      <c r="G657" s="10"/>
    </row>
    <row r="658" spans="1:7">
      <c r="A658" s="4">
        <v>655</v>
      </c>
      <c r="B658" s="5" t="s">
        <v>178</v>
      </c>
      <c r="C658" s="6" t="str">
        <f>"2020011206"</f>
        <v>2020011206</v>
      </c>
      <c r="D658" s="7">
        <v>78.5</v>
      </c>
      <c r="E658" s="8">
        <v>70</v>
      </c>
      <c r="F658" s="9">
        <f t="shared" si="11"/>
        <v>148.5</v>
      </c>
      <c r="G658" s="10"/>
    </row>
    <row r="659" spans="1:7">
      <c r="A659" s="4">
        <v>656</v>
      </c>
      <c r="B659" s="5" t="s">
        <v>178</v>
      </c>
      <c r="C659" s="6" t="str">
        <f>"2020010208"</f>
        <v>2020010208</v>
      </c>
      <c r="D659" s="7">
        <v>72.400000000000006</v>
      </c>
      <c r="E659" s="8">
        <v>75.5</v>
      </c>
      <c r="F659" s="9">
        <f t="shared" si="11"/>
        <v>147.9</v>
      </c>
      <c r="G659" s="10"/>
    </row>
    <row r="660" spans="1:7">
      <c r="A660" s="4">
        <v>657</v>
      </c>
      <c r="B660" s="5" t="s">
        <v>179</v>
      </c>
      <c r="C660" s="6" t="str">
        <f>"2020034013"</f>
        <v>2020034013</v>
      </c>
      <c r="D660" s="7">
        <v>76.099999999999994</v>
      </c>
      <c r="E660" s="8">
        <v>75.5</v>
      </c>
      <c r="F660" s="9">
        <f t="shared" si="11"/>
        <v>151.6</v>
      </c>
      <c r="G660" s="10"/>
    </row>
    <row r="661" spans="1:7">
      <c r="A661" s="4">
        <v>658</v>
      </c>
      <c r="B661" s="5" t="s">
        <v>179</v>
      </c>
      <c r="C661" s="6" t="str">
        <f>"2020045708"</f>
        <v>2020045708</v>
      </c>
      <c r="D661" s="7">
        <v>68.5</v>
      </c>
      <c r="E661" s="8">
        <v>79</v>
      </c>
      <c r="F661" s="9">
        <f t="shared" si="11"/>
        <v>147.5</v>
      </c>
      <c r="G661" s="10"/>
    </row>
    <row r="662" spans="1:7">
      <c r="A662" s="4">
        <v>659</v>
      </c>
      <c r="B662" s="5" t="s">
        <v>179</v>
      </c>
      <c r="C662" s="6" t="str">
        <f>"2020043319"</f>
        <v>2020043319</v>
      </c>
      <c r="D662" s="7">
        <v>72.3</v>
      </c>
      <c r="E662" s="8">
        <v>74</v>
      </c>
      <c r="F662" s="9">
        <f t="shared" si="11"/>
        <v>146.30000000000001</v>
      </c>
      <c r="G662" s="10"/>
    </row>
    <row r="663" spans="1:7">
      <c r="A663" s="4">
        <v>660</v>
      </c>
      <c r="B663" s="5" t="s">
        <v>180</v>
      </c>
      <c r="C663" s="6" t="str">
        <f>"2020033120"</f>
        <v>2020033120</v>
      </c>
      <c r="D663" s="7">
        <v>83.6</v>
      </c>
      <c r="E663" s="8">
        <v>77</v>
      </c>
      <c r="F663" s="9">
        <f t="shared" ref="F663:F726" si="12">SUM(D663:E663)</f>
        <v>160.6</v>
      </c>
      <c r="G663" s="10"/>
    </row>
    <row r="664" spans="1:7">
      <c r="A664" s="4">
        <v>661</v>
      </c>
      <c r="B664" s="5" t="s">
        <v>180</v>
      </c>
      <c r="C664" s="6" t="str">
        <f>"2020023314"</f>
        <v>2020023314</v>
      </c>
      <c r="D664" s="7">
        <v>75.900000000000006</v>
      </c>
      <c r="E664" s="8">
        <v>74.5</v>
      </c>
      <c r="F664" s="9">
        <f t="shared" si="12"/>
        <v>150.4</v>
      </c>
      <c r="G664" s="10"/>
    </row>
    <row r="665" spans="1:7">
      <c r="A665" s="4">
        <v>662</v>
      </c>
      <c r="B665" s="5" t="s">
        <v>180</v>
      </c>
      <c r="C665" s="6" t="str">
        <f>"2020012112"</f>
        <v>2020012112</v>
      </c>
      <c r="D665" s="7">
        <v>74.7</v>
      </c>
      <c r="E665" s="8">
        <v>74</v>
      </c>
      <c r="F665" s="9">
        <f t="shared" si="12"/>
        <v>148.69999999999999</v>
      </c>
      <c r="G665" s="10"/>
    </row>
    <row r="666" spans="1:7">
      <c r="A666" s="4">
        <v>663</v>
      </c>
      <c r="B666" s="5" t="s">
        <v>180</v>
      </c>
      <c r="C666" s="6" t="str">
        <f>"2020033824"</f>
        <v>2020033824</v>
      </c>
      <c r="D666" s="7">
        <v>68.2</v>
      </c>
      <c r="E666" s="8">
        <v>80.5</v>
      </c>
      <c r="F666" s="9">
        <f t="shared" si="12"/>
        <v>148.69999999999999</v>
      </c>
      <c r="G666" s="10"/>
    </row>
    <row r="667" spans="1:7">
      <c r="A667" s="4">
        <v>664</v>
      </c>
      <c r="B667" s="5" t="s">
        <v>181</v>
      </c>
      <c r="C667" s="6" t="str">
        <f>"2020010221"</f>
        <v>2020010221</v>
      </c>
      <c r="D667" s="7">
        <v>70.2</v>
      </c>
      <c r="E667" s="8">
        <v>83.5</v>
      </c>
      <c r="F667" s="9">
        <f t="shared" si="12"/>
        <v>153.69999999999999</v>
      </c>
      <c r="G667" s="10"/>
    </row>
    <row r="668" spans="1:7">
      <c r="A668" s="4">
        <v>665</v>
      </c>
      <c r="B668" s="5" t="s">
        <v>181</v>
      </c>
      <c r="C668" s="6" t="str">
        <f>"2020033914"</f>
        <v>2020033914</v>
      </c>
      <c r="D668" s="7">
        <v>71.7</v>
      </c>
      <c r="E668" s="8">
        <v>81</v>
      </c>
      <c r="F668" s="9">
        <f t="shared" si="12"/>
        <v>152.69999999999999</v>
      </c>
      <c r="G668" s="10"/>
    </row>
    <row r="669" spans="1:7">
      <c r="A669" s="4">
        <v>666</v>
      </c>
      <c r="B669" s="5" t="s">
        <v>181</v>
      </c>
      <c r="C669" s="6" t="str">
        <f>"2020021706"</f>
        <v>2020021706</v>
      </c>
      <c r="D669" s="7">
        <v>67.3</v>
      </c>
      <c r="E669" s="8">
        <v>84.5</v>
      </c>
      <c r="F669" s="9">
        <f t="shared" si="12"/>
        <v>151.80000000000001</v>
      </c>
      <c r="G669" s="10"/>
    </row>
    <row r="670" spans="1:7">
      <c r="A670" s="4">
        <v>667</v>
      </c>
      <c r="B670" s="5" t="s">
        <v>182</v>
      </c>
      <c r="C670" s="6" t="str">
        <f>"2020047501"</f>
        <v>2020047501</v>
      </c>
      <c r="D670" s="7">
        <v>77.7</v>
      </c>
      <c r="E670" s="8">
        <v>73</v>
      </c>
      <c r="F670" s="9">
        <f t="shared" si="12"/>
        <v>150.69999999999999</v>
      </c>
      <c r="G670" s="10"/>
    </row>
    <row r="671" spans="1:7">
      <c r="A671" s="4">
        <v>668</v>
      </c>
      <c r="B671" s="5" t="s">
        <v>182</v>
      </c>
      <c r="C671" s="6" t="str">
        <f>"2020042203"</f>
        <v>2020042203</v>
      </c>
      <c r="D671" s="7">
        <v>67.099999999999994</v>
      </c>
      <c r="E671" s="8">
        <v>77</v>
      </c>
      <c r="F671" s="9">
        <f t="shared" si="12"/>
        <v>144.1</v>
      </c>
      <c r="G671" s="10"/>
    </row>
    <row r="672" spans="1:7">
      <c r="A672" s="4">
        <v>669</v>
      </c>
      <c r="B672" s="5" t="s">
        <v>182</v>
      </c>
      <c r="C672" s="6" t="str">
        <f>"2020046126"</f>
        <v>2020046126</v>
      </c>
      <c r="D672" s="7">
        <v>65.7</v>
      </c>
      <c r="E672" s="8">
        <v>76.5</v>
      </c>
      <c r="F672" s="9">
        <f t="shared" si="12"/>
        <v>142.19999999999999</v>
      </c>
      <c r="G672" s="10"/>
    </row>
    <row r="673" spans="1:7">
      <c r="A673" s="4">
        <v>670</v>
      </c>
      <c r="B673" s="5" t="s">
        <v>182</v>
      </c>
      <c r="C673" s="6" t="str">
        <f>"2020040213"</f>
        <v>2020040213</v>
      </c>
      <c r="D673" s="7">
        <v>72.5</v>
      </c>
      <c r="E673" s="8">
        <v>67</v>
      </c>
      <c r="F673" s="9">
        <f t="shared" si="12"/>
        <v>139.5</v>
      </c>
      <c r="G673" s="10"/>
    </row>
    <row r="674" spans="1:7">
      <c r="A674" s="4">
        <v>671</v>
      </c>
      <c r="B674" s="5" t="s">
        <v>182</v>
      </c>
      <c r="C674" s="6" t="str">
        <f>"2020011120"</f>
        <v>2020011120</v>
      </c>
      <c r="D674" s="7">
        <v>71.3</v>
      </c>
      <c r="E674" s="8">
        <v>67.5</v>
      </c>
      <c r="F674" s="9">
        <f t="shared" si="12"/>
        <v>138.80000000000001</v>
      </c>
      <c r="G674" s="10"/>
    </row>
    <row r="675" spans="1:7">
      <c r="A675" s="4">
        <v>672</v>
      </c>
      <c r="B675" s="5" t="s">
        <v>182</v>
      </c>
      <c r="C675" s="6" t="str">
        <f>"2020031127"</f>
        <v>2020031127</v>
      </c>
      <c r="D675" s="7">
        <v>67.599999999999994</v>
      </c>
      <c r="E675" s="8">
        <v>62</v>
      </c>
      <c r="F675" s="9">
        <f t="shared" si="12"/>
        <v>129.6</v>
      </c>
      <c r="G675" s="10"/>
    </row>
    <row r="676" spans="1:7">
      <c r="A676" s="4">
        <v>673</v>
      </c>
      <c r="B676" s="5" t="s">
        <v>183</v>
      </c>
      <c r="C676" s="6" t="str">
        <f>"2020010119"</f>
        <v>2020010119</v>
      </c>
      <c r="D676" s="7">
        <v>62.6</v>
      </c>
      <c r="E676" s="8">
        <v>82.5</v>
      </c>
      <c r="F676" s="9">
        <f t="shared" si="12"/>
        <v>145.1</v>
      </c>
      <c r="G676" s="10"/>
    </row>
    <row r="677" spans="1:7">
      <c r="A677" s="4">
        <v>674</v>
      </c>
      <c r="B677" s="5" t="s">
        <v>183</v>
      </c>
      <c r="C677" s="6" t="str">
        <f>"2020024623"</f>
        <v>2020024623</v>
      </c>
      <c r="D677" s="7">
        <v>67.3</v>
      </c>
      <c r="E677" s="8">
        <v>71.5</v>
      </c>
      <c r="F677" s="9">
        <f t="shared" si="12"/>
        <v>138.80000000000001</v>
      </c>
      <c r="G677" s="10"/>
    </row>
    <row r="678" spans="1:7">
      <c r="A678" s="4">
        <v>675</v>
      </c>
      <c r="B678" s="5" t="s">
        <v>183</v>
      </c>
      <c r="C678" s="6" t="str">
        <f>"2020046528"</f>
        <v>2020046528</v>
      </c>
      <c r="D678" s="7">
        <v>66.3</v>
      </c>
      <c r="E678" s="8">
        <v>70</v>
      </c>
      <c r="F678" s="9">
        <f t="shared" si="12"/>
        <v>136.30000000000001</v>
      </c>
      <c r="G678" s="10"/>
    </row>
    <row r="679" spans="1:7">
      <c r="A679" s="4">
        <v>676</v>
      </c>
      <c r="B679" s="5" t="s">
        <v>184</v>
      </c>
      <c r="C679" s="6" t="str">
        <f>"2020045303"</f>
        <v>2020045303</v>
      </c>
      <c r="D679" s="7">
        <v>64.900000000000006</v>
      </c>
      <c r="E679" s="8">
        <v>68</v>
      </c>
      <c r="F679" s="9">
        <f t="shared" si="12"/>
        <v>132.9</v>
      </c>
      <c r="G679" s="10"/>
    </row>
    <row r="680" spans="1:7">
      <c r="A680" s="4">
        <v>677</v>
      </c>
      <c r="B680" s="5" t="s">
        <v>184</v>
      </c>
      <c r="C680" s="6" t="str">
        <f>"2020045814"</f>
        <v>2020045814</v>
      </c>
      <c r="D680" s="7">
        <v>63.3</v>
      </c>
      <c r="E680" s="8">
        <v>64</v>
      </c>
      <c r="F680" s="9">
        <f t="shared" si="12"/>
        <v>127.3</v>
      </c>
      <c r="G680" s="10"/>
    </row>
    <row r="681" spans="1:7">
      <c r="A681" s="4">
        <v>678</v>
      </c>
      <c r="B681" s="5" t="s">
        <v>184</v>
      </c>
      <c r="C681" s="6" t="str">
        <f>"2020014012"</f>
        <v>2020014012</v>
      </c>
      <c r="D681" s="7">
        <v>61.5</v>
      </c>
      <c r="E681" s="8">
        <v>59.5</v>
      </c>
      <c r="F681" s="9">
        <f t="shared" si="12"/>
        <v>121</v>
      </c>
      <c r="G681" s="10"/>
    </row>
    <row r="682" spans="1:7">
      <c r="A682" s="4">
        <v>679</v>
      </c>
      <c r="B682" s="5" t="s">
        <v>184</v>
      </c>
      <c r="C682" s="6" t="str">
        <f>"2020024207"</f>
        <v>2020024207</v>
      </c>
      <c r="D682" s="7">
        <v>58</v>
      </c>
      <c r="E682" s="8">
        <v>62.5</v>
      </c>
      <c r="F682" s="9">
        <f t="shared" si="12"/>
        <v>120.5</v>
      </c>
      <c r="G682" s="10"/>
    </row>
    <row r="683" spans="1:7">
      <c r="A683" s="4">
        <v>680</v>
      </c>
      <c r="B683" s="5" t="s">
        <v>184</v>
      </c>
      <c r="C683" s="6" t="str">
        <f>"2020040523"</f>
        <v>2020040523</v>
      </c>
      <c r="D683" s="7">
        <v>61.6</v>
      </c>
      <c r="E683" s="8">
        <v>54</v>
      </c>
      <c r="F683" s="9">
        <f t="shared" si="12"/>
        <v>115.6</v>
      </c>
      <c r="G683" s="10"/>
    </row>
    <row r="684" spans="1:7">
      <c r="A684" s="4">
        <v>681</v>
      </c>
      <c r="B684" s="5" t="s">
        <v>184</v>
      </c>
      <c r="C684" s="6" t="str">
        <f>"2020021630"</f>
        <v>2020021630</v>
      </c>
      <c r="D684" s="7">
        <v>60.6</v>
      </c>
      <c r="E684" s="8">
        <v>54.5</v>
      </c>
      <c r="F684" s="9">
        <f t="shared" si="12"/>
        <v>115.1</v>
      </c>
      <c r="G684" s="10"/>
    </row>
    <row r="685" spans="1:7">
      <c r="A685" s="4">
        <v>682</v>
      </c>
      <c r="B685" s="5" t="s">
        <v>185</v>
      </c>
      <c r="C685" s="6" t="str">
        <f>"2020033808"</f>
        <v>2020033808</v>
      </c>
      <c r="D685" s="7">
        <v>80.400000000000006</v>
      </c>
      <c r="E685" s="8">
        <v>80</v>
      </c>
      <c r="F685" s="9">
        <f t="shared" si="12"/>
        <v>160.4</v>
      </c>
      <c r="G685" s="10"/>
    </row>
    <row r="686" spans="1:7">
      <c r="A686" s="4">
        <v>683</v>
      </c>
      <c r="B686" s="5" t="s">
        <v>185</v>
      </c>
      <c r="C686" s="6" t="str">
        <f>"2020021009"</f>
        <v>2020021009</v>
      </c>
      <c r="D686" s="7">
        <v>78.099999999999994</v>
      </c>
      <c r="E686" s="8">
        <v>78.5</v>
      </c>
      <c r="F686" s="9">
        <f t="shared" si="12"/>
        <v>156.6</v>
      </c>
      <c r="G686" s="10"/>
    </row>
    <row r="687" spans="1:7">
      <c r="A687" s="4">
        <v>684</v>
      </c>
      <c r="B687" s="5" t="s">
        <v>185</v>
      </c>
      <c r="C687" s="6" t="str">
        <f>"2020046019"</f>
        <v>2020046019</v>
      </c>
      <c r="D687" s="7">
        <v>66.599999999999994</v>
      </c>
      <c r="E687" s="8">
        <v>87.5</v>
      </c>
      <c r="F687" s="9">
        <f t="shared" si="12"/>
        <v>154.1</v>
      </c>
      <c r="G687" s="10"/>
    </row>
    <row r="688" spans="1:7">
      <c r="A688" s="4">
        <v>685</v>
      </c>
      <c r="B688" s="5" t="s">
        <v>186</v>
      </c>
      <c r="C688" s="6" t="str">
        <f>"2020042215"</f>
        <v>2020042215</v>
      </c>
      <c r="D688" s="7">
        <v>75.099999999999994</v>
      </c>
      <c r="E688" s="8">
        <v>76</v>
      </c>
      <c r="F688" s="9">
        <f t="shared" si="12"/>
        <v>151.1</v>
      </c>
      <c r="G688" s="10"/>
    </row>
    <row r="689" spans="1:7">
      <c r="A689" s="4">
        <v>686</v>
      </c>
      <c r="B689" s="5" t="s">
        <v>186</v>
      </c>
      <c r="C689" s="6" t="str">
        <f>"2020045521"</f>
        <v>2020045521</v>
      </c>
      <c r="D689" s="7">
        <v>71.099999999999994</v>
      </c>
      <c r="E689" s="8">
        <v>72</v>
      </c>
      <c r="F689" s="9">
        <f t="shared" si="12"/>
        <v>143.1</v>
      </c>
      <c r="G689" s="10"/>
    </row>
    <row r="690" spans="1:7">
      <c r="A690" s="4">
        <v>687</v>
      </c>
      <c r="B690" s="5" t="s">
        <v>186</v>
      </c>
      <c r="C690" s="6" t="str">
        <f>"2020021726"</f>
        <v>2020021726</v>
      </c>
      <c r="D690" s="7">
        <v>62.1</v>
      </c>
      <c r="E690" s="8">
        <v>76.5</v>
      </c>
      <c r="F690" s="9">
        <f t="shared" si="12"/>
        <v>138.6</v>
      </c>
      <c r="G690" s="10"/>
    </row>
    <row r="691" spans="1:7">
      <c r="A691" s="4">
        <v>688</v>
      </c>
      <c r="B691" s="5" t="s">
        <v>187</v>
      </c>
      <c r="C691" s="6" t="str">
        <f>"2020024505"</f>
        <v>2020024505</v>
      </c>
      <c r="D691" s="7">
        <v>65.400000000000006</v>
      </c>
      <c r="E691" s="8">
        <v>68.5</v>
      </c>
      <c r="F691" s="9">
        <f t="shared" si="12"/>
        <v>133.9</v>
      </c>
      <c r="G691" s="10"/>
    </row>
    <row r="692" spans="1:7">
      <c r="A692" s="4">
        <v>689</v>
      </c>
      <c r="B692" s="5" t="s">
        <v>187</v>
      </c>
      <c r="C692" s="6" t="str">
        <f>"2020033818"</f>
        <v>2020033818</v>
      </c>
      <c r="D692" s="7">
        <v>67.400000000000006</v>
      </c>
      <c r="E692" s="8">
        <v>56</v>
      </c>
      <c r="F692" s="9">
        <f t="shared" si="12"/>
        <v>123.4</v>
      </c>
      <c r="G692" s="10"/>
    </row>
    <row r="693" spans="1:7">
      <c r="A693" s="4">
        <v>690</v>
      </c>
      <c r="B693" s="5" t="s">
        <v>187</v>
      </c>
      <c r="C693" s="6" t="str">
        <f>"2020043416"</f>
        <v>2020043416</v>
      </c>
      <c r="D693" s="7">
        <v>63.2</v>
      </c>
      <c r="E693" s="8">
        <v>56</v>
      </c>
      <c r="F693" s="9">
        <f t="shared" si="12"/>
        <v>119.2</v>
      </c>
      <c r="G693" s="10"/>
    </row>
    <row r="694" spans="1:7">
      <c r="A694" s="4">
        <v>691</v>
      </c>
      <c r="B694" s="5" t="s">
        <v>188</v>
      </c>
      <c r="C694" s="6" t="str">
        <f>"2020041624"</f>
        <v>2020041624</v>
      </c>
      <c r="D694" s="7">
        <v>70.5</v>
      </c>
      <c r="E694" s="8">
        <v>80.5</v>
      </c>
      <c r="F694" s="9">
        <f t="shared" si="12"/>
        <v>151</v>
      </c>
      <c r="G694" s="10"/>
    </row>
    <row r="695" spans="1:7">
      <c r="A695" s="4">
        <v>692</v>
      </c>
      <c r="B695" s="5" t="s">
        <v>188</v>
      </c>
      <c r="C695" s="6" t="str">
        <f>"2020045428"</f>
        <v>2020045428</v>
      </c>
      <c r="D695" s="7">
        <v>69.3</v>
      </c>
      <c r="E695" s="8">
        <v>78.5</v>
      </c>
      <c r="F695" s="9">
        <f t="shared" si="12"/>
        <v>147.80000000000001</v>
      </c>
      <c r="G695" s="10"/>
    </row>
    <row r="696" spans="1:7">
      <c r="A696" s="4">
        <v>693</v>
      </c>
      <c r="B696" s="5" t="s">
        <v>188</v>
      </c>
      <c r="C696" s="6" t="str">
        <f>"2020033809"</f>
        <v>2020033809</v>
      </c>
      <c r="D696" s="7">
        <v>72.2</v>
      </c>
      <c r="E696" s="8">
        <v>73</v>
      </c>
      <c r="F696" s="9">
        <f t="shared" si="12"/>
        <v>145.19999999999999</v>
      </c>
      <c r="G696" s="10"/>
    </row>
    <row r="697" spans="1:7">
      <c r="A697" s="4">
        <v>694</v>
      </c>
      <c r="B697" s="5" t="s">
        <v>189</v>
      </c>
      <c r="C697" s="6" t="str">
        <f>"2020040115"</f>
        <v>2020040115</v>
      </c>
      <c r="D697" s="7">
        <v>69.7</v>
      </c>
      <c r="E697" s="8">
        <v>59.5</v>
      </c>
      <c r="F697" s="9">
        <f t="shared" si="12"/>
        <v>129.19999999999999</v>
      </c>
      <c r="G697" s="10"/>
    </row>
    <row r="698" spans="1:7">
      <c r="A698" s="4">
        <v>695</v>
      </c>
      <c r="B698" s="5" t="s">
        <v>189</v>
      </c>
      <c r="C698" s="6" t="str">
        <f>"2020033111"</f>
        <v>2020033111</v>
      </c>
      <c r="D698" s="7">
        <v>60.2</v>
      </c>
      <c r="E698" s="8">
        <v>63.5</v>
      </c>
      <c r="F698" s="9">
        <f t="shared" si="12"/>
        <v>123.7</v>
      </c>
      <c r="G698" s="10"/>
    </row>
    <row r="699" spans="1:7">
      <c r="A699" s="4">
        <v>696</v>
      </c>
      <c r="B699" s="5" t="s">
        <v>190</v>
      </c>
      <c r="C699" s="6" t="str">
        <f>"2020013104"</f>
        <v>2020013104</v>
      </c>
      <c r="D699" s="7">
        <v>75.900000000000006</v>
      </c>
      <c r="E699" s="8">
        <v>77</v>
      </c>
      <c r="F699" s="9">
        <f t="shared" si="12"/>
        <v>152.9</v>
      </c>
      <c r="G699" s="10"/>
    </row>
    <row r="700" spans="1:7">
      <c r="A700" s="4">
        <v>697</v>
      </c>
      <c r="B700" s="5" t="s">
        <v>190</v>
      </c>
      <c r="C700" s="6" t="str">
        <f>"2020023123"</f>
        <v>2020023123</v>
      </c>
      <c r="D700" s="7">
        <v>65.900000000000006</v>
      </c>
      <c r="E700" s="8">
        <v>72</v>
      </c>
      <c r="F700" s="9">
        <f t="shared" si="12"/>
        <v>137.9</v>
      </c>
      <c r="G700" s="10"/>
    </row>
    <row r="701" spans="1:7">
      <c r="A701" s="4">
        <v>698</v>
      </c>
      <c r="B701" s="5" t="s">
        <v>190</v>
      </c>
      <c r="C701" s="6" t="str">
        <f>"2020045017"</f>
        <v>2020045017</v>
      </c>
      <c r="D701" s="7">
        <v>66.099999999999994</v>
      </c>
      <c r="E701" s="8">
        <v>68.5</v>
      </c>
      <c r="F701" s="9">
        <f t="shared" si="12"/>
        <v>134.6</v>
      </c>
      <c r="G701" s="10"/>
    </row>
    <row r="702" spans="1:7">
      <c r="A702" s="4">
        <v>699</v>
      </c>
      <c r="B702" s="5" t="s">
        <v>191</v>
      </c>
      <c r="C702" s="6" t="str">
        <f>"2020022824"</f>
        <v>2020022824</v>
      </c>
      <c r="D702" s="7">
        <v>74</v>
      </c>
      <c r="E702" s="8">
        <v>71.5</v>
      </c>
      <c r="F702" s="9">
        <f t="shared" si="12"/>
        <v>145.5</v>
      </c>
      <c r="G702" s="10"/>
    </row>
    <row r="703" spans="1:7">
      <c r="A703" s="4">
        <v>700</v>
      </c>
      <c r="B703" s="5" t="s">
        <v>191</v>
      </c>
      <c r="C703" s="6" t="str">
        <f>"2020021202"</f>
        <v>2020021202</v>
      </c>
      <c r="D703" s="7">
        <v>68.2</v>
      </c>
      <c r="E703" s="8">
        <v>67.5</v>
      </c>
      <c r="F703" s="9">
        <f t="shared" si="12"/>
        <v>135.69999999999999</v>
      </c>
      <c r="G703" s="10"/>
    </row>
    <row r="704" spans="1:7">
      <c r="A704" s="4">
        <v>701</v>
      </c>
      <c r="B704" s="5" t="s">
        <v>191</v>
      </c>
      <c r="C704" s="6" t="str">
        <f>"2020045007"</f>
        <v>2020045007</v>
      </c>
      <c r="D704" s="7">
        <v>65.400000000000006</v>
      </c>
      <c r="E704" s="8">
        <v>69.5</v>
      </c>
      <c r="F704" s="9">
        <f t="shared" si="12"/>
        <v>134.9</v>
      </c>
      <c r="G704" s="10"/>
    </row>
    <row r="705" spans="1:7">
      <c r="A705" s="4">
        <v>702</v>
      </c>
      <c r="B705" s="5" t="s">
        <v>192</v>
      </c>
      <c r="C705" s="6" t="str">
        <f>"2020023004"</f>
        <v>2020023004</v>
      </c>
      <c r="D705" s="7">
        <v>71</v>
      </c>
      <c r="E705" s="8">
        <v>75</v>
      </c>
      <c r="F705" s="9">
        <f t="shared" si="12"/>
        <v>146</v>
      </c>
      <c r="G705" s="10"/>
    </row>
    <row r="706" spans="1:7">
      <c r="A706" s="4">
        <v>703</v>
      </c>
      <c r="B706" s="5" t="s">
        <v>192</v>
      </c>
      <c r="C706" s="6" t="str">
        <f>"2020012418"</f>
        <v>2020012418</v>
      </c>
      <c r="D706" s="7">
        <v>68.900000000000006</v>
      </c>
      <c r="E706" s="8">
        <v>72.5</v>
      </c>
      <c r="F706" s="9">
        <f t="shared" si="12"/>
        <v>141.4</v>
      </c>
      <c r="G706" s="10"/>
    </row>
    <row r="707" spans="1:7">
      <c r="A707" s="4">
        <v>704</v>
      </c>
      <c r="B707" s="5" t="s">
        <v>192</v>
      </c>
      <c r="C707" s="6" t="str">
        <f>"2020032917"</f>
        <v>2020032917</v>
      </c>
      <c r="D707" s="7">
        <v>65.599999999999994</v>
      </c>
      <c r="E707" s="8">
        <v>55.5</v>
      </c>
      <c r="F707" s="9">
        <f t="shared" si="12"/>
        <v>121.1</v>
      </c>
      <c r="G707" s="10"/>
    </row>
    <row r="708" spans="1:7">
      <c r="A708" s="4">
        <v>705</v>
      </c>
      <c r="B708" s="5" t="s">
        <v>193</v>
      </c>
      <c r="C708" s="6" t="str">
        <f>"2020024526"</f>
        <v>2020024526</v>
      </c>
      <c r="D708" s="7">
        <v>72.900000000000006</v>
      </c>
      <c r="E708" s="8">
        <v>81</v>
      </c>
      <c r="F708" s="9">
        <f t="shared" si="12"/>
        <v>153.9</v>
      </c>
      <c r="G708" s="10"/>
    </row>
    <row r="709" spans="1:7">
      <c r="A709" s="4">
        <v>706</v>
      </c>
      <c r="B709" s="5" t="s">
        <v>193</v>
      </c>
      <c r="C709" s="6" t="str">
        <f>"2020046226"</f>
        <v>2020046226</v>
      </c>
      <c r="D709" s="7">
        <v>73.8</v>
      </c>
      <c r="E709" s="8">
        <v>74</v>
      </c>
      <c r="F709" s="9">
        <f t="shared" si="12"/>
        <v>147.80000000000001</v>
      </c>
      <c r="G709" s="10"/>
    </row>
    <row r="710" spans="1:7">
      <c r="A710" s="4">
        <v>707</v>
      </c>
      <c r="B710" s="5" t="s">
        <v>193</v>
      </c>
      <c r="C710" s="6" t="str">
        <f>"2020030922"</f>
        <v>2020030922</v>
      </c>
      <c r="D710" s="7">
        <v>72.099999999999994</v>
      </c>
      <c r="E710" s="8">
        <v>75.5</v>
      </c>
      <c r="F710" s="9">
        <f t="shared" si="12"/>
        <v>147.6</v>
      </c>
      <c r="G710" s="10"/>
    </row>
    <row r="711" spans="1:7">
      <c r="A711" s="4">
        <v>708</v>
      </c>
      <c r="B711" s="5" t="s">
        <v>194</v>
      </c>
      <c r="C711" s="6" t="str">
        <f>"2020013027"</f>
        <v>2020013027</v>
      </c>
      <c r="D711" s="7">
        <v>76.599999999999994</v>
      </c>
      <c r="E711" s="8">
        <v>74</v>
      </c>
      <c r="F711" s="9">
        <f t="shared" si="12"/>
        <v>150.6</v>
      </c>
      <c r="G711" s="10"/>
    </row>
    <row r="712" spans="1:7">
      <c r="A712" s="4">
        <v>709</v>
      </c>
      <c r="B712" s="5" t="s">
        <v>194</v>
      </c>
      <c r="C712" s="6" t="str">
        <f>"2020040611"</f>
        <v>2020040611</v>
      </c>
      <c r="D712" s="7">
        <v>73</v>
      </c>
      <c r="E712" s="8">
        <v>76.5</v>
      </c>
      <c r="F712" s="9">
        <f t="shared" si="12"/>
        <v>149.5</v>
      </c>
      <c r="G712" s="10"/>
    </row>
    <row r="713" spans="1:7">
      <c r="A713" s="4">
        <v>710</v>
      </c>
      <c r="B713" s="5" t="s">
        <v>194</v>
      </c>
      <c r="C713" s="6" t="str">
        <f>"2020010102"</f>
        <v>2020010102</v>
      </c>
      <c r="D713" s="7">
        <v>70.2</v>
      </c>
      <c r="E713" s="8">
        <v>77.5</v>
      </c>
      <c r="F713" s="9">
        <f t="shared" si="12"/>
        <v>147.69999999999999</v>
      </c>
      <c r="G713" s="10"/>
    </row>
    <row r="714" spans="1:7">
      <c r="A714" s="4">
        <v>711</v>
      </c>
      <c r="B714" s="5" t="s">
        <v>195</v>
      </c>
      <c r="C714" s="6" t="str">
        <f>"2020012818"</f>
        <v>2020012818</v>
      </c>
      <c r="D714" s="7">
        <v>67.5</v>
      </c>
      <c r="E714" s="8">
        <v>62.5</v>
      </c>
      <c r="F714" s="9">
        <f t="shared" si="12"/>
        <v>130</v>
      </c>
      <c r="G714" s="10"/>
    </row>
    <row r="715" spans="1:7">
      <c r="A715" s="4">
        <v>712</v>
      </c>
      <c r="B715" s="5" t="s">
        <v>195</v>
      </c>
      <c r="C715" s="6" t="str">
        <f>"2020041319"</f>
        <v>2020041319</v>
      </c>
      <c r="D715" s="7">
        <v>68</v>
      </c>
      <c r="E715" s="8">
        <v>59</v>
      </c>
      <c r="F715" s="9">
        <f t="shared" si="12"/>
        <v>127</v>
      </c>
      <c r="G715" s="10"/>
    </row>
    <row r="716" spans="1:7">
      <c r="A716" s="4">
        <v>713</v>
      </c>
      <c r="B716" s="5" t="s">
        <v>195</v>
      </c>
      <c r="C716" s="6" t="str">
        <f>"2020011823"</f>
        <v>2020011823</v>
      </c>
      <c r="D716" s="7">
        <v>62.6</v>
      </c>
      <c r="E716" s="8">
        <v>64</v>
      </c>
      <c r="F716" s="9">
        <f t="shared" si="12"/>
        <v>126.6</v>
      </c>
      <c r="G716" s="10"/>
    </row>
    <row r="717" spans="1:7">
      <c r="A717" s="4">
        <v>714</v>
      </c>
      <c r="B717" s="5" t="s">
        <v>196</v>
      </c>
      <c r="C717" s="6" t="str">
        <f>"2020033227"</f>
        <v>2020033227</v>
      </c>
      <c r="D717" s="7">
        <v>66.8</v>
      </c>
      <c r="E717" s="8">
        <v>71</v>
      </c>
      <c r="F717" s="9">
        <f t="shared" si="12"/>
        <v>137.80000000000001</v>
      </c>
      <c r="G717" s="10"/>
    </row>
    <row r="718" spans="1:7">
      <c r="A718" s="4">
        <v>715</v>
      </c>
      <c r="B718" s="5" t="s">
        <v>196</v>
      </c>
      <c r="C718" s="6" t="str">
        <f>"2020020617"</f>
        <v>2020020617</v>
      </c>
      <c r="D718" s="7">
        <v>67.599999999999994</v>
      </c>
      <c r="E718" s="8">
        <v>63.5</v>
      </c>
      <c r="F718" s="9">
        <f t="shared" si="12"/>
        <v>131.1</v>
      </c>
      <c r="G718" s="10"/>
    </row>
    <row r="719" spans="1:7">
      <c r="A719" s="4">
        <v>716</v>
      </c>
      <c r="B719" s="5" t="s">
        <v>197</v>
      </c>
      <c r="C719" s="6" t="str">
        <f>"2020011315"</f>
        <v>2020011315</v>
      </c>
      <c r="D719" s="7">
        <v>71.2</v>
      </c>
      <c r="E719" s="8">
        <v>77</v>
      </c>
      <c r="F719" s="9">
        <f t="shared" si="12"/>
        <v>148.19999999999999</v>
      </c>
      <c r="G719" s="10"/>
    </row>
    <row r="720" spans="1:7">
      <c r="A720" s="4">
        <v>717</v>
      </c>
      <c r="B720" s="5" t="s">
        <v>197</v>
      </c>
      <c r="C720" s="6" t="str">
        <f>"2020042728"</f>
        <v>2020042728</v>
      </c>
      <c r="D720" s="7">
        <v>74.900000000000006</v>
      </c>
      <c r="E720" s="8">
        <v>72</v>
      </c>
      <c r="F720" s="9">
        <f t="shared" si="12"/>
        <v>146.9</v>
      </c>
      <c r="G720" s="10"/>
    </row>
    <row r="721" spans="1:7">
      <c r="A721" s="4">
        <v>718</v>
      </c>
      <c r="B721" s="5" t="s">
        <v>197</v>
      </c>
      <c r="C721" s="6" t="str">
        <f>"2020041023"</f>
        <v>2020041023</v>
      </c>
      <c r="D721" s="7">
        <v>70.599999999999994</v>
      </c>
      <c r="E721" s="8">
        <v>73</v>
      </c>
      <c r="F721" s="9">
        <f t="shared" si="12"/>
        <v>143.6</v>
      </c>
      <c r="G721" s="10"/>
    </row>
    <row r="722" spans="1:7">
      <c r="A722" s="4">
        <v>719</v>
      </c>
      <c r="B722" s="5" t="s">
        <v>198</v>
      </c>
      <c r="C722" s="6" t="str">
        <f>"2020022304"</f>
        <v>2020022304</v>
      </c>
      <c r="D722" s="7">
        <v>73.7</v>
      </c>
      <c r="E722" s="8">
        <v>74.5</v>
      </c>
      <c r="F722" s="9">
        <f t="shared" si="12"/>
        <v>148.19999999999999</v>
      </c>
      <c r="G722" s="10"/>
    </row>
    <row r="723" spans="1:7">
      <c r="A723" s="4">
        <v>720</v>
      </c>
      <c r="B723" s="5" t="s">
        <v>198</v>
      </c>
      <c r="C723" s="6" t="str">
        <f>"2020040912"</f>
        <v>2020040912</v>
      </c>
      <c r="D723" s="7">
        <v>62.7</v>
      </c>
      <c r="E723" s="8">
        <v>76.5</v>
      </c>
      <c r="F723" s="9">
        <f t="shared" si="12"/>
        <v>139.19999999999999</v>
      </c>
      <c r="G723" s="10"/>
    </row>
    <row r="724" spans="1:7">
      <c r="A724" s="4">
        <v>721</v>
      </c>
      <c r="B724" s="5" t="s">
        <v>198</v>
      </c>
      <c r="C724" s="6" t="str">
        <f>"2020012423"</f>
        <v>2020012423</v>
      </c>
      <c r="D724" s="7">
        <v>68.3</v>
      </c>
      <c r="E724" s="8">
        <v>69</v>
      </c>
      <c r="F724" s="9">
        <f t="shared" si="12"/>
        <v>137.30000000000001</v>
      </c>
      <c r="G724" s="10"/>
    </row>
    <row r="725" spans="1:7">
      <c r="A725" s="4">
        <v>722</v>
      </c>
      <c r="B725" s="5" t="s">
        <v>199</v>
      </c>
      <c r="C725" s="6" t="str">
        <f>"2020021930"</f>
        <v>2020021930</v>
      </c>
      <c r="D725" s="7">
        <v>74.900000000000006</v>
      </c>
      <c r="E725" s="8">
        <v>79</v>
      </c>
      <c r="F725" s="9">
        <f t="shared" si="12"/>
        <v>153.9</v>
      </c>
      <c r="G725" s="10"/>
    </row>
    <row r="726" spans="1:7">
      <c r="A726" s="4">
        <v>723</v>
      </c>
      <c r="B726" s="5" t="s">
        <v>199</v>
      </c>
      <c r="C726" s="6" t="str">
        <f>"2020023608"</f>
        <v>2020023608</v>
      </c>
      <c r="D726" s="7">
        <v>66.400000000000006</v>
      </c>
      <c r="E726" s="8">
        <v>72</v>
      </c>
      <c r="F726" s="9">
        <f t="shared" si="12"/>
        <v>138.4</v>
      </c>
      <c r="G726" s="10"/>
    </row>
    <row r="727" spans="1:7">
      <c r="A727" s="4">
        <v>724</v>
      </c>
      <c r="B727" s="5" t="s">
        <v>199</v>
      </c>
      <c r="C727" s="6" t="str">
        <f>"2020013608"</f>
        <v>2020013608</v>
      </c>
      <c r="D727" s="7">
        <v>69.7</v>
      </c>
      <c r="E727" s="8">
        <v>67.5</v>
      </c>
      <c r="F727" s="9">
        <f t="shared" ref="F727:F735" si="13">SUM(D727:E727)</f>
        <v>137.19999999999999</v>
      </c>
      <c r="G727" s="10"/>
    </row>
    <row r="728" spans="1:7">
      <c r="A728" s="4">
        <v>725</v>
      </c>
      <c r="B728" s="5" t="s">
        <v>200</v>
      </c>
      <c r="C728" s="6" t="str">
        <f>"2020032114"</f>
        <v>2020032114</v>
      </c>
      <c r="D728" s="7">
        <v>69.3</v>
      </c>
      <c r="E728" s="8">
        <v>84.5</v>
      </c>
      <c r="F728" s="9">
        <f t="shared" si="13"/>
        <v>153.80000000000001</v>
      </c>
      <c r="G728" s="10"/>
    </row>
    <row r="729" spans="1:7">
      <c r="A729" s="4">
        <v>726</v>
      </c>
      <c r="B729" s="5" t="s">
        <v>200</v>
      </c>
      <c r="C729" s="6" t="str">
        <f>"2020043810"</f>
        <v>2020043810</v>
      </c>
      <c r="D729" s="7">
        <v>65.7</v>
      </c>
      <c r="E729" s="8">
        <v>61.5</v>
      </c>
      <c r="F729" s="9">
        <f t="shared" si="13"/>
        <v>127.2</v>
      </c>
      <c r="G729" s="10"/>
    </row>
    <row r="730" spans="1:7">
      <c r="A730" s="4">
        <v>727</v>
      </c>
      <c r="B730" s="5" t="s">
        <v>200</v>
      </c>
      <c r="C730" s="6" t="str">
        <f>"2020042809"</f>
        <v>2020042809</v>
      </c>
      <c r="D730" s="7">
        <v>64.900000000000006</v>
      </c>
      <c r="E730" s="8">
        <v>54</v>
      </c>
      <c r="F730" s="9">
        <f t="shared" si="13"/>
        <v>118.9</v>
      </c>
      <c r="G730" s="10"/>
    </row>
    <row r="731" spans="1:7">
      <c r="A731" s="4">
        <v>728</v>
      </c>
      <c r="B731" s="5" t="s">
        <v>201</v>
      </c>
      <c r="C731" s="6" t="str">
        <f>"2020040426"</f>
        <v>2020040426</v>
      </c>
      <c r="D731" s="7">
        <v>70.900000000000006</v>
      </c>
      <c r="E731" s="8">
        <v>66</v>
      </c>
      <c r="F731" s="9">
        <f t="shared" si="13"/>
        <v>136.9</v>
      </c>
      <c r="G731" s="10"/>
    </row>
    <row r="732" spans="1:7">
      <c r="A732" s="4">
        <v>729</v>
      </c>
      <c r="B732" s="5" t="s">
        <v>201</v>
      </c>
      <c r="C732" s="6" t="str">
        <f>"2020030303"</f>
        <v>2020030303</v>
      </c>
      <c r="D732" s="7">
        <v>70.3</v>
      </c>
      <c r="E732" s="8">
        <v>65.5</v>
      </c>
      <c r="F732" s="9">
        <f t="shared" si="13"/>
        <v>135.80000000000001</v>
      </c>
      <c r="G732" s="10"/>
    </row>
    <row r="733" spans="1:7">
      <c r="A733" s="4">
        <v>730</v>
      </c>
      <c r="B733" s="5" t="s">
        <v>202</v>
      </c>
      <c r="C733" s="6" t="str">
        <f>"2020032807"</f>
        <v>2020032807</v>
      </c>
      <c r="D733" s="7">
        <v>75.3</v>
      </c>
      <c r="E733" s="8">
        <v>83.5</v>
      </c>
      <c r="F733" s="9">
        <f t="shared" si="13"/>
        <v>158.80000000000001</v>
      </c>
      <c r="G733" s="10"/>
    </row>
    <row r="734" spans="1:7">
      <c r="A734" s="4">
        <v>731</v>
      </c>
      <c r="B734" s="5" t="s">
        <v>202</v>
      </c>
      <c r="C734" s="6" t="str">
        <f>"2020043520"</f>
        <v>2020043520</v>
      </c>
      <c r="D734" s="7">
        <v>69.2</v>
      </c>
      <c r="E734" s="8">
        <v>89</v>
      </c>
      <c r="F734" s="9">
        <f t="shared" si="13"/>
        <v>158.19999999999999</v>
      </c>
      <c r="G734" s="10"/>
    </row>
    <row r="735" spans="1:7">
      <c r="A735" s="4">
        <v>732</v>
      </c>
      <c r="B735" s="5" t="s">
        <v>202</v>
      </c>
      <c r="C735" s="6" t="str">
        <f>"2020030301"</f>
        <v>2020030301</v>
      </c>
      <c r="D735" s="7">
        <v>75.400000000000006</v>
      </c>
      <c r="E735" s="8">
        <v>79</v>
      </c>
      <c r="F735" s="9">
        <f t="shared" si="13"/>
        <v>154.4</v>
      </c>
      <c r="G735" s="10"/>
    </row>
  </sheetData>
  <mergeCells count="1">
    <mergeCell ref="A2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赵立功</dc:creator>
  <cp:lastModifiedBy>赵立功</cp:lastModifiedBy>
  <dcterms:created xsi:type="dcterms:W3CDTF">2020-11-13T02:51:36Z</dcterms:created>
  <dcterms:modified xsi:type="dcterms:W3CDTF">2020-11-13T09:34:23Z</dcterms:modified>
</cp:coreProperties>
</file>