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60" windowHeight="11625"/>
  </bookViews>
  <sheets>
    <sheet name="公示成绩" sheetId="3" r:id="rId1"/>
  </sheets>
  <definedNames>
    <definedName name="_xlnm._FilterDatabase" localSheetId="0" hidden="1">公示成绩!$A$2:$J$1505</definedName>
  </definedNames>
  <calcPr calcId="144525"/>
</workbook>
</file>

<file path=xl/sharedStrings.xml><?xml version="1.0" encoding="utf-8"?>
<sst xmlns="http://schemas.openxmlformats.org/spreadsheetml/2006/main" count="48">
  <si>
    <t>笔试总成绩（教育系统）</t>
  </si>
  <si>
    <t>准考证号</t>
  </si>
  <si>
    <t>报考岗位</t>
  </si>
  <si>
    <t>民族</t>
  </si>
  <si>
    <t>笔试原始总成绩</t>
  </si>
  <si>
    <t>笔试加权成绩</t>
  </si>
  <si>
    <t>少数民族加分</t>
  </si>
  <si>
    <t>临聘人员加分</t>
  </si>
  <si>
    <t>笔试总成绩</t>
  </si>
  <si>
    <t>排名</t>
  </si>
  <si>
    <t>101_初中语文</t>
  </si>
  <si>
    <t>汉族</t>
  </si>
  <si>
    <t>蒙古族</t>
  </si>
  <si>
    <t>102_小学语文</t>
  </si>
  <si>
    <t>103_初中数学</t>
  </si>
  <si>
    <t>104_小学数学</t>
  </si>
  <si>
    <t>105_初中英语</t>
  </si>
  <si>
    <t>106_小学英语</t>
  </si>
  <si>
    <t>回族</t>
  </si>
  <si>
    <t>107_初中生物</t>
  </si>
  <si>
    <t>108_初中政治</t>
  </si>
  <si>
    <t>109_初中历史</t>
  </si>
  <si>
    <t>110_初中地理</t>
  </si>
  <si>
    <t>111_初中音乐</t>
  </si>
  <si>
    <t>112_小学音乐</t>
  </si>
  <si>
    <t>113_初中体育</t>
  </si>
  <si>
    <t>114_小学体育</t>
  </si>
  <si>
    <t>115_初中美术</t>
  </si>
  <si>
    <t>满族</t>
  </si>
  <si>
    <t>116_小学美术</t>
  </si>
  <si>
    <t>117_小学科学</t>
  </si>
  <si>
    <t>118_初中信息技术</t>
  </si>
  <si>
    <t>119_初中心理健康</t>
  </si>
  <si>
    <t>120_小学心理健康</t>
  </si>
  <si>
    <t>121_初中蒙语文（蒙授）</t>
  </si>
  <si>
    <t>122_高中数学（蒙授）</t>
  </si>
  <si>
    <t>核销岗位</t>
  </si>
  <si>
    <t>123_小学数学（蒙授）</t>
  </si>
  <si>
    <t>124_高中英语（蒙授）</t>
  </si>
  <si>
    <t>125_小学英语（蒙授）</t>
  </si>
  <si>
    <t>126_高中生物（蒙授）</t>
  </si>
  <si>
    <t>127_小学音乐（蒙授）</t>
  </si>
  <si>
    <t>128_小学体育（蒙授）</t>
  </si>
  <si>
    <t>129_小学特殊教育（蒙授）</t>
  </si>
  <si>
    <t>130_幼儿园教师（蒙授）</t>
  </si>
  <si>
    <t>132_幼儿园教师</t>
  </si>
  <si>
    <t>133_幼儿园教师（男）</t>
  </si>
  <si>
    <t>134_幼儿园教师-小教大专生</t>
  </si>
</sst>
</file>

<file path=xl/styles.xml><?xml version="1.0" encoding="utf-8"?>
<styleSheet xmlns="http://schemas.openxmlformats.org/spreadsheetml/2006/main">
  <numFmts count="5">
    <numFmt numFmtId="176" formatCode="0.00_ "/>
    <numFmt numFmtId="177" formatCode="_(&quot;$&quot;* #,##0_);_(&quot;$&quot;* \(#,##0\);_(&quot;$&quot;* &quot;-&quot;_);_(@_)"/>
    <numFmt numFmtId="41" formatCode="_ * #,##0_ ;_ * \-#,##0_ ;_ * &quot;-&quot;_ ;_ @_ "/>
    <numFmt numFmtId="178" formatCode="_(&quot;$&quot;* #,##0.00_);_(&quot;$&quot;* \(#,##0.00\);_(&quot;$&quot;* &quot;-&quot;??_);_(@_)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20"/>
      <name val="方正公文小标宋"/>
      <charset val="134"/>
    </font>
    <font>
      <b/>
      <sz val="10"/>
      <name val="宋体"/>
      <charset val="134"/>
    </font>
    <font>
      <sz val="10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177" fontId="5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16" borderId="5" applyNumberFormat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0" borderId="4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9" borderId="2" applyNumberFormat="0" applyAlignment="0" applyProtection="0">
      <alignment vertical="center"/>
    </xf>
    <xf numFmtId="0" fontId="24" fillId="9" borderId="5" applyNumberFormat="0" applyAlignment="0" applyProtection="0">
      <alignment vertical="center"/>
    </xf>
    <xf numFmtId="0" fontId="17" fillId="24" borderId="6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176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05"/>
  <sheetViews>
    <sheetView tabSelected="1" workbookViewId="0">
      <pane ySplit="2" topLeftCell="A864" activePane="bottomLeft" state="frozen"/>
      <selection/>
      <selection pane="bottomLeft" activeCell="K1112" sqref="K1112"/>
    </sheetView>
  </sheetViews>
  <sheetFormatPr defaultColWidth="18.6" defaultRowHeight="12"/>
  <cols>
    <col min="1" max="1" width="11.875" style="3" customWidth="1"/>
    <col min="2" max="2" width="16.75" style="4" customWidth="1"/>
    <col min="3" max="3" width="6.625" style="3" customWidth="1"/>
    <col min="4" max="5" width="8.75833333333333" style="5" customWidth="1"/>
    <col min="6" max="7" width="8.75833333333333" style="3" customWidth="1"/>
    <col min="8" max="8" width="8.75833333333333" style="5" customWidth="1"/>
    <col min="9" max="9" width="9.625" style="3" customWidth="1"/>
    <col min="10" max="25" width="18.6" style="3"/>
    <col min="26" max="16377" width="12.25" style="3"/>
    <col min="16378" max="16384" width="18.6" style="3"/>
  </cols>
  <sheetData>
    <row r="1" ht="29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27" customHeight="1" spans="1:9">
      <c r="A2" s="7" t="s">
        <v>1</v>
      </c>
      <c r="B2" s="8" t="s">
        <v>2</v>
      </c>
      <c r="C2" s="7" t="s">
        <v>3</v>
      </c>
      <c r="D2" s="9" t="s">
        <v>4</v>
      </c>
      <c r="E2" s="9" t="s">
        <v>5</v>
      </c>
      <c r="F2" s="10" t="s">
        <v>6</v>
      </c>
      <c r="G2" s="10" t="s">
        <v>7</v>
      </c>
      <c r="H2" s="9" t="s">
        <v>8</v>
      </c>
      <c r="I2" s="10" t="s">
        <v>9</v>
      </c>
    </row>
    <row r="3" ht="24" customHeight="1" spans="1:9">
      <c r="A3" s="11" t="str">
        <f>"15101010106"</f>
        <v>15101010106</v>
      </c>
      <c r="B3" s="12" t="s">
        <v>10</v>
      </c>
      <c r="C3" s="11" t="s">
        <v>11</v>
      </c>
      <c r="D3" s="13">
        <v>83.9</v>
      </c>
      <c r="E3" s="13">
        <f t="shared" ref="E3:E66" si="0">D3*0.6</f>
        <v>50.34</v>
      </c>
      <c r="F3" s="11"/>
      <c r="G3" s="11"/>
      <c r="H3" s="13">
        <f t="shared" ref="H3:H66" si="1">SUM(E3:G3)</f>
        <v>50.34</v>
      </c>
      <c r="I3" s="11">
        <v>1</v>
      </c>
    </row>
    <row r="4" ht="24" customHeight="1" spans="1:9">
      <c r="A4" s="11" t="str">
        <f>"15101010110"</f>
        <v>15101010110</v>
      </c>
      <c r="B4" s="12" t="s">
        <v>10</v>
      </c>
      <c r="C4" s="11" t="s">
        <v>11</v>
      </c>
      <c r="D4" s="13">
        <v>80.67</v>
      </c>
      <c r="E4" s="13">
        <f t="shared" si="0"/>
        <v>48.402</v>
      </c>
      <c r="F4" s="11"/>
      <c r="G4" s="11"/>
      <c r="H4" s="13">
        <f t="shared" si="1"/>
        <v>48.402</v>
      </c>
      <c r="I4" s="11">
        <v>2</v>
      </c>
    </row>
    <row r="5" ht="24" customHeight="1" spans="1:9">
      <c r="A5" s="11" t="str">
        <f>"15101010108"</f>
        <v>15101010108</v>
      </c>
      <c r="B5" s="12" t="s">
        <v>10</v>
      </c>
      <c r="C5" s="11" t="s">
        <v>11</v>
      </c>
      <c r="D5" s="13">
        <v>79.1</v>
      </c>
      <c r="E5" s="13">
        <f t="shared" si="0"/>
        <v>47.46</v>
      </c>
      <c r="F5" s="11"/>
      <c r="G5" s="11"/>
      <c r="H5" s="13">
        <f t="shared" si="1"/>
        <v>47.46</v>
      </c>
      <c r="I5" s="11">
        <v>3</v>
      </c>
    </row>
    <row r="6" ht="24" customHeight="1" spans="1:9">
      <c r="A6" s="11" t="str">
        <f>"15101010119"</f>
        <v>15101010119</v>
      </c>
      <c r="B6" s="12" t="s">
        <v>10</v>
      </c>
      <c r="C6" s="11" t="s">
        <v>11</v>
      </c>
      <c r="D6" s="13">
        <v>78.99</v>
      </c>
      <c r="E6" s="13">
        <f t="shared" si="0"/>
        <v>47.394</v>
      </c>
      <c r="F6" s="11"/>
      <c r="G6" s="11"/>
      <c r="H6" s="13">
        <f t="shared" si="1"/>
        <v>47.394</v>
      </c>
      <c r="I6" s="11">
        <v>4</v>
      </c>
    </row>
    <row r="7" ht="24" customHeight="1" spans="1:9">
      <c r="A7" s="11" t="str">
        <f>"15101010109"</f>
        <v>15101010109</v>
      </c>
      <c r="B7" s="12" t="s">
        <v>10</v>
      </c>
      <c r="C7" s="11" t="s">
        <v>11</v>
      </c>
      <c r="D7" s="13">
        <v>78.57</v>
      </c>
      <c r="E7" s="13">
        <f t="shared" si="0"/>
        <v>47.142</v>
      </c>
      <c r="F7" s="11"/>
      <c r="G7" s="11"/>
      <c r="H7" s="13">
        <f t="shared" si="1"/>
        <v>47.142</v>
      </c>
      <c r="I7" s="11">
        <v>5</v>
      </c>
    </row>
    <row r="8" ht="24" customHeight="1" spans="1:9">
      <c r="A8" s="11" t="str">
        <f>"15101010104"</f>
        <v>15101010104</v>
      </c>
      <c r="B8" s="12" t="s">
        <v>10</v>
      </c>
      <c r="C8" s="11" t="s">
        <v>11</v>
      </c>
      <c r="D8" s="13">
        <v>77.91</v>
      </c>
      <c r="E8" s="13">
        <f t="shared" si="0"/>
        <v>46.746</v>
      </c>
      <c r="F8" s="11"/>
      <c r="G8" s="11"/>
      <c r="H8" s="13">
        <f t="shared" si="1"/>
        <v>46.746</v>
      </c>
      <c r="I8" s="11">
        <v>6</v>
      </c>
    </row>
    <row r="9" ht="24" customHeight="1" spans="1:9">
      <c r="A9" s="11" t="str">
        <f>"15101010115"</f>
        <v>15101010115</v>
      </c>
      <c r="B9" s="12" t="s">
        <v>10</v>
      </c>
      <c r="C9" s="11" t="s">
        <v>11</v>
      </c>
      <c r="D9" s="13">
        <v>77.49</v>
      </c>
      <c r="E9" s="13">
        <f t="shared" si="0"/>
        <v>46.494</v>
      </c>
      <c r="F9" s="11"/>
      <c r="G9" s="11"/>
      <c r="H9" s="13">
        <f t="shared" si="1"/>
        <v>46.494</v>
      </c>
      <c r="I9" s="11">
        <v>7</v>
      </c>
    </row>
    <row r="10" ht="24" customHeight="1" spans="1:9">
      <c r="A10" s="11" t="str">
        <f>"15101010112"</f>
        <v>15101010112</v>
      </c>
      <c r="B10" s="12" t="s">
        <v>10</v>
      </c>
      <c r="C10" s="11" t="s">
        <v>11</v>
      </c>
      <c r="D10" s="13">
        <v>77.43</v>
      </c>
      <c r="E10" s="13">
        <f t="shared" si="0"/>
        <v>46.458</v>
      </c>
      <c r="F10" s="11"/>
      <c r="G10" s="11"/>
      <c r="H10" s="13">
        <f t="shared" si="1"/>
        <v>46.458</v>
      </c>
      <c r="I10" s="11">
        <v>8</v>
      </c>
    </row>
    <row r="11" ht="24" customHeight="1" spans="1:9">
      <c r="A11" s="11" t="str">
        <f>"15101010111"</f>
        <v>15101010111</v>
      </c>
      <c r="B11" s="12" t="s">
        <v>10</v>
      </c>
      <c r="C11" s="11" t="s">
        <v>12</v>
      </c>
      <c r="D11" s="13">
        <v>73.15</v>
      </c>
      <c r="E11" s="13">
        <f t="shared" si="0"/>
        <v>43.89</v>
      </c>
      <c r="F11" s="11">
        <v>2.5</v>
      </c>
      <c r="G11" s="11"/>
      <c r="H11" s="13">
        <f t="shared" si="1"/>
        <v>46.39</v>
      </c>
      <c r="I11" s="11">
        <v>9</v>
      </c>
    </row>
    <row r="12" ht="24" customHeight="1" spans="1:9">
      <c r="A12" s="11" t="str">
        <f>"15101010105"</f>
        <v>15101010105</v>
      </c>
      <c r="B12" s="12" t="s">
        <v>10</v>
      </c>
      <c r="C12" s="11" t="s">
        <v>11</v>
      </c>
      <c r="D12" s="13">
        <v>75.87</v>
      </c>
      <c r="E12" s="13">
        <f t="shared" si="0"/>
        <v>45.522</v>
      </c>
      <c r="F12" s="11"/>
      <c r="G12" s="11"/>
      <c r="H12" s="13">
        <f t="shared" si="1"/>
        <v>45.522</v>
      </c>
      <c r="I12" s="11">
        <v>10</v>
      </c>
    </row>
    <row r="13" ht="24" customHeight="1" spans="1:9">
      <c r="A13" s="11" t="str">
        <f>"15101010116"</f>
        <v>15101010116</v>
      </c>
      <c r="B13" s="12" t="s">
        <v>10</v>
      </c>
      <c r="C13" s="11" t="s">
        <v>11</v>
      </c>
      <c r="D13" s="13">
        <v>74.39</v>
      </c>
      <c r="E13" s="13">
        <f t="shared" si="0"/>
        <v>44.634</v>
      </c>
      <c r="F13" s="11"/>
      <c r="G13" s="11"/>
      <c r="H13" s="13">
        <f t="shared" si="1"/>
        <v>44.634</v>
      </c>
      <c r="I13" s="11">
        <v>11</v>
      </c>
    </row>
    <row r="14" ht="24" customHeight="1" spans="1:9">
      <c r="A14" s="11" t="str">
        <f>"15101010102"</f>
        <v>15101010102</v>
      </c>
      <c r="B14" s="12" t="s">
        <v>10</v>
      </c>
      <c r="C14" s="11" t="s">
        <v>11</v>
      </c>
      <c r="D14" s="13">
        <v>73.65</v>
      </c>
      <c r="E14" s="13">
        <f t="shared" si="0"/>
        <v>44.19</v>
      </c>
      <c r="F14" s="11"/>
      <c r="G14" s="11"/>
      <c r="H14" s="13">
        <f t="shared" si="1"/>
        <v>44.19</v>
      </c>
      <c r="I14" s="11">
        <v>12</v>
      </c>
    </row>
    <row r="15" ht="24" customHeight="1" spans="1:9">
      <c r="A15" s="14" t="str">
        <f>"15101010107"</f>
        <v>15101010107</v>
      </c>
      <c r="B15" s="15" t="s">
        <v>10</v>
      </c>
      <c r="C15" s="14" t="s">
        <v>11</v>
      </c>
      <c r="D15" s="16">
        <v>73.28</v>
      </c>
      <c r="E15" s="16">
        <f t="shared" si="0"/>
        <v>43.968</v>
      </c>
      <c r="F15" s="14"/>
      <c r="G15" s="14"/>
      <c r="H15" s="16">
        <f t="shared" si="1"/>
        <v>43.968</v>
      </c>
      <c r="I15" s="14">
        <v>13</v>
      </c>
    </row>
    <row r="16" ht="24" customHeight="1" spans="1:9">
      <c r="A16" s="14" t="str">
        <f>"15101010117"</f>
        <v>15101010117</v>
      </c>
      <c r="B16" s="15" t="s">
        <v>10</v>
      </c>
      <c r="C16" s="14" t="s">
        <v>11</v>
      </c>
      <c r="D16" s="16">
        <v>71.71</v>
      </c>
      <c r="E16" s="16">
        <f t="shared" si="0"/>
        <v>43.026</v>
      </c>
      <c r="F16" s="14"/>
      <c r="G16" s="14"/>
      <c r="H16" s="16">
        <f t="shared" si="1"/>
        <v>43.026</v>
      </c>
      <c r="I16" s="14">
        <v>14</v>
      </c>
    </row>
    <row r="17" ht="24" customHeight="1" spans="1:9">
      <c r="A17" s="14" t="str">
        <f>"15101010118"</f>
        <v>15101010118</v>
      </c>
      <c r="B17" s="15" t="s">
        <v>10</v>
      </c>
      <c r="C17" s="14" t="s">
        <v>11</v>
      </c>
      <c r="D17" s="16">
        <v>71.31</v>
      </c>
      <c r="E17" s="16">
        <f t="shared" si="0"/>
        <v>42.786</v>
      </c>
      <c r="F17" s="14"/>
      <c r="G17" s="14"/>
      <c r="H17" s="16">
        <f t="shared" si="1"/>
        <v>42.786</v>
      </c>
      <c r="I17" s="14">
        <v>15</v>
      </c>
    </row>
    <row r="18" ht="24" customHeight="1" spans="1:9">
      <c r="A18" s="14" t="str">
        <f>"15101010114"</f>
        <v>15101010114</v>
      </c>
      <c r="B18" s="15" t="s">
        <v>10</v>
      </c>
      <c r="C18" s="14" t="s">
        <v>11</v>
      </c>
      <c r="D18" s="16">
        <v>68.95</v>
      </c>
      <c r="E18" s="16">
        <f t="shared" si="0"/>
        <v>41.37</v>
      </c>
      <c r="F18" s="14"/>
      <c r="G18" s="14"/>
      <c r="H18" s="16">
        <f t="shared" si="1"/>
        <v>41.37</v>
      </c>
      <c r="I18" s="14">
        <v>16</v>
      </c>
    </row>
    <row r="19" ht="24" customHeight="1" spans="1:9">
      <c r="A19" s="14" t="str">
        <f>"15101010101"</f>
        <v>15101010101</v>
      </c>
      <c r="B19" s="15" t="s">
        <v>10</v>
      </c>
      <c r="C19" s="14" t="s">
        <v>12</v>
      </c>
      <c r="D19" s="16">
        <v>-1</v>
      </c>
      <c r="E19" s="16">
        <f t="shared" si="0"/>
        <v>-0.6</v>
      </c>
      <c r="F19" s="14">
        <v>2.5</v>
      </c>
      <c r="G19" s="14"/>
      <c r="H19" s="16">
        <f t="shared" si="1"/>
        <v>1.9</v>
      </c>
      <c r="I19" s="14">
        <v>17</v>
      </c>
    </row>
    <row r="20" ht="24" customHeight="1" spans="1:9">
      <c r="A20" s="14" t="str">
        <f>"15101010103"</f>
        <v>15101010103</v>
      </c>
      <c r="B20" s="15" t="s">
        <v>10</v>
      </c>
      <c r="C20" s="14" t="s">
        <v>11</v>
      </c>
      <c r="D20" s="16">
        <v>-1</v>
      </c>
      <c r="E20" s="16">
        <f t="shared" si="0"/>
        <v>-0.6</v>
      </c>
      <c r="F20" s="14"/>
      <c r="G20" s="14"/>
      <c r="H20" s="16">
        <f t="shared" si="1"/>
        <v>-0.6</v>
      </c>
      <c r="I20" s="14">
        <v>18</v>
      </c>
    </row>
    <row r="21" ht="24" customHeight="1" spans="1:9">
      <c r="A21" s="14" t="str">
        <f>"15101010113"</f>
        <v>15101010113</v>
      </c>
      <c r="B21" s="15" t="s">
        <v>10</v>
      </c>
      <c r="C21" s="14" t="s">
        <v>11</v>
      </c>
      <c r="D21" s="16">
        <v>-1</v>
      </c>
      <c r="E21" s="16">
        <f t="shared" si="0"/>
        <v>-0.6</v>
      </c>
      <c r="F21" s="14"/>
      <c r="G21" s="14"/>
      <c r="H21" s="16">
        <f t="shared" si="1"/>
        <v>-0.6</v>
      </c>
      <c r="I21" s="14">
        <v>19</v>
      </c>
    </row>
    <row r="22" ht="24" customHeight="1" spans="1:9">
      <c r="A22" s="14" t="str">
        <f>"15101010120"</f>
        <v>15101010120</v>
      </c>
      <c r="B22" s="15" t="s">
        <v>10</v>
      </c>
      <c r="C22" s="14" t="s">
        <v>11</v>
      </c>
      <c r="D22" s="16">
        <v>-1</v>
      </c>
      <c r="E22" s="16">
        <f t="shared" si="0"/>
        <v>-0.6</v>
      </c>
      <c r="F22" s="14"/>
      <c r="G22" s="14"/>
      <c r="H22" s="16">
        <f t="shared" si="1"/>
        <v>-0.6</v>
      </c>
      <c r="I22" s="14">
        <v>20</v>
      </c>
    </row>
    <row r="23" ht="24" customHeight="1" spans="1:9">
      <c r="A23" s="11" t="str">
        <f>"15102010620"</f>
        <v>15102010620</v>
      </c>
      <c r="B23" s="12" t="s">
        <v>13</v>
      </c>
      <c r="C23" s="11" t="s">
        <v>11</v>
      </c>
      <c r="D23" s="13">
        <v>82.97</v>
      </c>
      <c r="E23" s="13">
        <f t="shared" si="0"/>
        <v>49.782</v>
      </c>
      <c r="F23" s="11"/>
      <c r="G23" s="11"/>
      <c r="H23" s="13">
        <f t="shared" si="1"/>
        <v>49.782</v>
      </c>
      <c r="I23" s="11">
        <v>1</v>
      </c>
    </row>
    <row r="24" ht="24" customHeight="1" spans="1:9">
      <c r="A24" s="11" t="str">
        <f>"15102010205"</f>
        <v>15102010205</v>
      </c>
      <c r="B24" s="12" t="s">
        <v>13</v>
      </c>
      <c r="C24" s="11" t="s">
        <v>11</v>
      </c>
      <c r="D24" s="13">
        <v>82.42</v>
      </c>
      <c r="E24" s="13">
        <f t="shared" si="0"/>
        <v>49.452</v>
      </c>
      <c r="F24" s="11"/>
      <c r="G24" s="11"/>
      <c r="H24" s="13">
        <f t="shared" si="1"/>
        <v>49.452</v>
      </c>
      <c r="I24" s="11">
        <v>2</v>
      </c>
    </row>
    <row r="25" ht="24" customHeight="1" spans="1:9">
      <c r="A25" s="11" t="str">
        <f>"15102010706"</f>
        <v>15102010706</v>
      </c>
      <c r="B25" s="12" t="s">
        <v>13</v>
      </c>
      <c r="C25" s="11" t="s">
        <v>11</v>
      </c>
      <c r="D25" s="13">
        <v>82.17</v>
      </c>
      <c r="E25" s="13">
        <f t="shared" si="0"/>
        <v>49.302</v>
      </c>
      <c r="F25" s="11"/>
      <c r="G25" s="11"/>
      <c r="H25" s="13">
        <f t="shared" si="1"/>
        <v>49.302</v>
      </c>
      <c r="I25" s="11">
        <v>3</v>
      </c>
    </row>
    <row r="26" ht="24" customHeight="1" spans="1:9">
      <c r="A26" s="11" t="str">
        <f>"15102010630"</f>
        <v>15102010630</v>
      </c>
      <c r="B26" s="12" t="s">
        <v>13</v>
      </c>
      <c r="C26" s="11" t="s">
        <v>11</v>
      </c>
      <c r="D26" s="13">
        <v>81.78</v>
      </c>
      <c r="E26" s="13">
        <f t="shared" si="0"/>
        <v>49.068</v>
      </c>
      <c r="F26" s="11"/>
      <c r="G26" s="11"/>
      <c r="H26" s="13">
        <f t="shared" si="1"/>
        <v>49.068</v>
      </c>
      <c r="I26" s="11">
        <v>4</v>
      </c>
    </row>
    <row r="27" ht="24" customHeight="1" spans="1:9">
      <c r="A27" s="11" t="str">
        <f>"15102010727"</f>
        <v>15102010727</v>
      </c>
      <c r="B27" s="12" t="s">
        <v>13</v>
      </c>
      <c r="C27" s="11" t="s">
        <v>11</v>
      </c>
      <c r="D27" s="13">
        <v>81.35</v>
      </c>
      <c r="E27" s="13">
        <f t="shared" si="0"/>
        <v>48.81</v>
      </c>
      <c r="F27" s="11"/>
      <c r="G27" s="11"/>
      <c r="H27" s="13">
        <f t="shared" si="1"/>
        <v>48.81</v>
      </c>
      <c r="I27" s="11">
        <v>5</v>
      </c>
    </row>
    <row r="28" ht="24" customHeight="1" spans="1:9">
      <c r="A28" s="11" t="str">
        <f>"15102010505"</f>
        <v>15102010505</v>
      </c>
      <c r="B28" s="12" t="s">
        <v>13</v>
      </c>
      <c r="C28" s="11" t="s">
        <v>12</v>
      </c>
      <c r="D28" s="13">
        <v>77.18</v>
      </c>
      <c r="E28" s="13">
        <f t="shared" si="0"/>
        <v>46.308</v>
      </c>
      <c r="F28" s="11">
        <v>2.5</v>
      </c>
      <c r="G28" s="11"/>
      <c r="H28" s="13">
        <f t="shared" si="1"/>
        <v>48.808</v>
      </c>
      <c r="I28" s="11">
        <v>6</v>
      </c>
    </row>
    <row r="29" ht="24" customHeight="1" spans="1:9">
      <c r="A29" s="11" t="str">
        <f>"15102010430"</f>
        <v>15102010430</v>
      </c>
      <c r="B29" s="12" t="s">
        <v>13</v>
      </c>
      <c r="C29" s="11" t="s">
        <v>11</v>
      </c>
      <c r="D29" s="13">
        <v>81.09</v>
      </c>
      <c r="E29" s="13">
        <f t="shared" si="0"/>
        <v>48.654</v>
      </c>
      <c r="F29" s="11"/>
      <c r="G29" s="11"/>
      <c r="H29" s="13">
        <f t="shared" si="1"/>
        <v>48.654</v>
      </c>
      <c r="I29" s="11">
        <v>7</v>
      </c>
    </row>
    <row r="30" ht="24" customHeight="1" spans="1:9">
      <c r="A30" s="11" t="str">
        <f>"15102010123"</f>
        <v>15102010123</v>
      </c>
      <c r="B30" s="12" t="s">
        <v>13</v>
      </c>
      <c r="C30" s="11" t="s">
        <v>11</v>
      </c>
      <c r="D30" s="13">
        <v>80.69</v>
      </c>
      <c r="E30" s="13">
        <f t="shared" si="0"/>
        <v>48.414</v>
      </c>
      <c r="F30" s="11"/>
      <c r="G30" s="11"/>
      <c r="H30" s="13">
        <f t="shared" si="1"/>
        <v>48.414</v>
      </c>
      <c r="I30" s="11">
        <v>8</v>
      </c>
    </row>
    <row r="31" ht="24" customHeight="1" spans="1:9">
      <c r="A31" s="11" t="str">
        <f>"15102010718"</f>
        <v>15102010718</v>
      </c>
      <c r="B31" s="12" t="s">
        <v>13</v>
      </c>
      <c r="C31" s="11" t="s">
        <v>11</v>
      </c>
      <c r="D31" s="13">
        <v>80.6</v>
      </c>
      <c r="E31" s="13">
        <f t="shared" si="0"/>
        <v>48.36</v>
      </c>
      <c r="F31" s="11"/>
      <c r="G31" s="11"/>
      <c r="H31" s="13">
        <f t="shared" si="1"/>
        <v>48.36</v>
      </c>
      <c r="I31" s="11">
        <v>9</v>
      </c>
    </row>
    <row r="32" ht="24" customHeight="1" spans="1:9">
      <c r="A32" s="11" t="str">
        <f>"15102010311"</f>
        <v>15102010311</v>
      </c>
      <c r="B32" s="12" t="s">
        <v>13</v>
      </c>
      <c r="C32" s="11" t="s">
        <v>11</v>
      </c>
      <c r="D32" s="13">
        <v>79.94</v>
      </c>
      <c r="E32" s="13">
        <f t="shared" si="0"/>
        <v>47.964</v>
      </c>
      <c r="F32" s="11"/>
      <c r="G32" s="11"/>
      <c r="H32" s="13">
        <f t="shared" si="1"/>
        <v>47.964</v>
      </c>
      <c r="I32" s="11">
        <v>10</v>
      </c>
    </row>
    <row r="33" ht="24" customHeight="1" spans="1:9">
      <c r="A33" s="11" t="str">
        <f>"15102010421"</f>
        <v>15102010421</v>
      </c>
      <c r="B33" s="12" t="s">
        <v>13</v>
      </c>
      <c r="C33" s="11" t="s">
        <v>11</v>
      </c>
      <c r="D33" s="13">
        <v>79.83</v>
      </c>
      <c r="E33" s="13">
        <f t="shared" si="0"/>
        <v>47.898</v>
      </c>
      <c r="F33" s="11"/>
      <c r="G33" s="11"/>
      <c r="H33" s="13">
        <f t="shared" si="1"/>
        <v>47.898</v>
      </c>
      <c r="I33" s="11">
        <v>11</v>
      </c>
    </row>
    <row r="34" ht="24" customHeight="1" spans="1:9">
      <c r="A34" s="11" t="str">
        <f>"15102010405"</f>
        <v>15102010405</v>
      </c>
      <c r="B34" s="12" t="s">
        <v>13</v>
      </c>
      <c r="C34" s="11" t="s">
        <v>11</v>
      </c>
      <c r="D34" s="13">
        <v>78.82</v>
      </c>
      <c r="E34" s="13">
        <f t="shared" si="0"/>
        <v>47.292</v>
      </c>
      <c r="F34" s="11"/>
      <c r="G34" s="11"/>
      <c r="H34" s="13">
        <f t="shared" si="1"/>
        <v>47.292</v>
      </c>
      <c r="I34" s="11">
        <v>12</v>
      </c>
    </row>
    <row r="35" ht="24" customHeight="1" spans="1:9">
      <c r="A35" s="11" t="str">
        <f>"15102010217"</f>
        <v>15102010217</v>
      </c>
      <c r="B35" s="12" t="s">
        <v>13</v>
      </c>
      <c r="C35" s="11" t="s">
        <v>11</v>
      </c>
      <c r="D35" s="13">
        <v>78.62</v>
      </c>
      <c r="E35" s="13">
        <f t="shared" si="0"/>
        <v>47.172</v>
      </c>
      <c r="F35" s="11"/>
      <c r="G35" s="11"/>
      <c r="H35" s="13">
        <f t="shared" si="1"/>
        <v>47.172</v>
      </c>
      <c r="I35" s="11">
        <v>13</v>
      </c>
    </row>
    <row r="36" ht="24" customHeight="1" spans="1:9">
      <c r="A36" s="11" t="str">
        <f>"15102010325"</f>
        <v>15102010325</v>
      </c>
      <c r="B36" s="12" t="s">
        <v>13</v>
      </c>
      <c r="C36" s="11" t="s">
        <v>12</v>
      </c>
      <c r="D36" s="13">
        <v>74.28</v>
      </c>
      <c r="E36" s="13">
        <f t="shared" si="0"/>
        <v>44.568</v>
      </c>
      <c r="F36" s="11">
        <v>2.5</v>
      </c>
      <c r="G36" s="11"/>
      <c r="H36" s="13">
        <f t="shared" si="1"/>
        <v>47.068</v>
      </c>
      <c r="I36" s="11">
        <v>14</v>
      </c>
    </row>
    <row r="37" ht="24" customHeight="1" spans="1:9">
      <c r="A37" s="11" t="str">
        <f>"15102010503"</f>
        <v>15102010503</v>
      </c>
      <c r="B37" s="12" t="s">
        <v>13</v>
      </c>
      <c r="C37" s="11" t="s">
        <v>11</v>
      </c>
      <c r="D37" s="13">
        <v>78.37</v>
      </c>
      <c r="E37" s="13">
        <f t="shared" si="0"/>
        <v>47.022</v>
      </c>
      <c r="F37" s="11"/>
      <c r="G37" s="11"/>
      <c r="H37" s="13">
        <f t="shared" si="1"/>
        <v>47.022</v>
      </c>
      <c r="I37" s="11">
        <v>15</v>
      </c>
    </row>
    <row r="38" ht="24" customHeight="1" spans="1:9">
      <c r="A38" s="11" t="str">
        <f>"15102010221"</f>
        <v>15102010221</v>
      </c>
      <c r="B38" s="12" t="s">
        <v>13</v>
      </c>
      <c r="C38" s="11" t="s">
        <v>11</v>
      </c>
      <c r="D38" s="13">
        <v>78.29</v>
      </c>
      <c r="E38" s="13">
        <f t="shared" si="0"/>
        <v>46.974</v>
      </c>
      <c r="F38" s="11"/>
      <c r="G38" s="11"/>
      <c r="H38" s="13">
        <f t="shared" si="1"/>
        <v>46.974</v>
      </c>
      <c r="I38" s="11">
        <v>16</v>
      </c>
    </row>
    <row r="39" ht="24" customHeight="1" spans="1:9">
      <c r="A39" s="11" t="str">
        <f>"15102010609"</f>
        <v>15102010609</v>
      </c>
      <c r="B39" s="12" t="s">
        <v>13</v>
      </c>
      <c r="C39" s="11" t="s">
        <v>11</v>
      </c>
      <c r="D39" s="13">
        <v>78.21</v>
      </c>
      <c r="E39" s="13">
        <f t="shared" si="0"/>
        <v>46.926</v>
      </c>
      <c r="F39" s="11"/>
      <c r="G39" s="11"/>
      <c r="H39" s="13">
        <f t="shared" si="1"/>
        <v>46.926</v>
      </c>
      <c r="I39" s="11">
        <v>17</v>
      </c>
    </row>
    <row r="40" ht="24" customHeight="1" spans="1:9">
      <c r="A40" s="11" t="str">
        <f>"15102010201"</f>
        <v>15102010201</v>
      </c>
      <c r="B40" s="12" t="s">
        <v>13</v>
      </c>
      <c r="C40" s="11" t="s">
        <v>11</v>
      </c>
      <c r="D40" s="13">
        <v>77.99</v>
      </c>
      <c r="E40" s="13">
        <f t="shared" si="0"/>
        <v>46.794</v>
      </c>
      <c r="F40" s="11"/>
      <c r="G40" s="11"/>
      <c r="H40" s="13">
        <f t="shared" si="1"/>
        <v>46.794</v>
      </c>
      <c r="I40" s="11">
        <v>18</v>
      </c>
    </row>
    <row r="41" ht="24" customHeight="1" spans="1:9">
      <c r="A41" s="11" t="str">
        <f>"15102010627"</f>
        <v>15102010627</v>
      </c>
      <c r="B41" s="12" t="s">
        <v>13</v>
      </c>
      <c r="C41" s="11" t="s">
        <v>11</v>
      </c>
      <c r="D41" s="13">
        <v>77.85</v>
      </c>
      <c r="E41" s="13">
        <f t="shared" si="0"/>
        <v>46.71</v>
      </c>
      <c r="F41" s="11"/>
      <c r="G41" s="11"/>
      <c r="H41" s="13">
        <f t="shared" si="1"/>
        <v>46.71</v>
      </c>
      <c r="I41" s="11">
        <v>19</v>
      </c>
    </row>
    <row r="42" ht="24" customHeight="1" spans="1:9">
      <c r="A42" s="11" t="str">
        <f>"15102010222"</f>
        <v>15102010222</v>
      </c>
      <c r="B42" s="12" t="s">
        <v>13</v>
      </c>
      <c r="C42" s="11" t="s">
        <v>11</v>
      </c>
      <c r="D42" s="13">
        <v>77.67</v>
      </c>
      <c r="E42" s="13">
        <f t="shared" si="0"/>
        <v>46.602</v>
      </c>
      <c r="F42" s="11"/>
      <c r="G42" s="11"/>
      <c r="H42" s="13">
        <f t="shared" si="1"/>
        <v>46.602</v>
      </c>
      <c r="I42" s="11">
        <v>20</v>
      </c>
    </row>
    <row r="43" ht="24" customHeight="1" spans="1:9">
      <c r="A43" s="11" t="str">
        <f>"15102010220"</f>
        <v>15102010220</v>
      </c>
      <c r="B43" s="12" t="s">
        <v>13</v>
      </c>
      <c r="C43" s="11" t="s">
        <v>11</v>
      </c>
      <c r="D43" s="13">
        <v>77.49</v>
      </c>
      <c r="E43" s="13">
        <f t="shared" si="0"/>
        <v>46.494</v>
      </c>
      <c r="F43" s="11"/>
      <c r="G43" s="11"/>
      <c r="H43" s="13">
        <f t="shared" si="1"/>
        <v>46.494</v>
      </c>
      <c r="I43" s="11">
        <v>21</v>
      </c>
    </row>
    <row r="44" ht="24" customHeight="1" spans="1:9">
      <c r="A44" s="11" t="str">
        <f>"15102010713"</f>
        <v>15102010713</v>
      </c>
      <c r="B44" s="12" t="s">
        <v>13</v>
      </c>
      <c r="C44" s="11" t="s">
        <v>11</v>
      </c>
      <c r="D44" s="13">
        <v>77.31</v>
      </c>
      <c r="E44" s="13">
        <f t="shared" si="0"/>
        <v>46.386</v>
      </c>
      <c r="F44" s="11"/>
      <c r="G44" s="11"/>
      <c r="H44" s="13">
        <f t="shared" si="1"/>
        <v>46.386</v>
      </c>
      <c r="I44" s="11">
        <v>22</v>
      </c>
    </row>
    <row r="45" ht="24" customHeight="1" spans="1:9">
      <c r="A45" s="11" t="str">
        <f>"15102010230"</f>
        <v>15102010230</v>
      </c>
      <c r="B45" s="12" t="s">
        <v>13</v>
      </c>
      <c r="C45" s="11" t="s">
        <v>11</v>
      </c>
      <c r="D45" s="13">
        <v>77.17</v>
      </c>
      <c r="E45" s="13">
        <f t="shared" si="0"/>
        <v>46.302</v>
      </c>
      <c r="F45" s="11"/>
      <c r="G45" s="11"/>
      <c r="H45" s="13">
        <f t="shared" si="1"/>
        <v>46.302</v>
      </c>
      <c r="I45" s="11">
        <v>23</v>
      </c>
    </row>
    <row r="46" ht="24" customHeight="1" spans="1:9">
      <c r="A46" s="11" t="str">
        <f>"15102010124"</f>
        <v>15102010124</v>
      </c>
      <c r="B46" s="12" t="s">
        <v>13</v>
      </c>
      <c r="C46" s="11" t="s">
        <v>11</v>
      </c>
      <c r="D46" s="13">
        <v>76.98</v>
      </c>
      <c r="E46" s="13">
        <f t="shared" si="0"/>
        <v>46.188</v>
      </c>
      <c r="F46" s="11"/>
      <c r="G46" s="11"/>
      <c r="H46" s="13">
        <f t="shared" si="1"/>
        <v>46.188</v>
      </c>
      <c r="I46" s="11">
        <v>24</v>
      </c>
    </row>
    <row r="47" ht="24" customHeight="1" spans="1:9">
      <c r="A47" s="11" t="str">
        <f>"15102010402"</f>
        <v>15102010402</v>
      </c>
      <c r="B47" s="12" t="s">
        <v>13</v>
      </c>
      <c r="C47" s="11" t="s">
        <v>11</v>
      </c>
      <c r="D47" s="13">
        <v>76.9</v>
      </c>
      <c r="E47" s="13">
        <f t="shared" si="0"/>
        <v>46.14</v>
      </c>
      <c r="F47" s="11"/>
      <c r="G47" s="11"/>
      <c r="H47" s="13">
        <f t="shared" si="1"/>
        <v>46.14</v>
      </c>
      <c r="I47" s="11">
        <v>25</v>
      </c>
    </row>
    <row r="48" ht="24" customHeight="1" spans="1:9">
      <c r="A48" s="11" t="str">
        <f>"15102010616"</f>
        <v>15102010616</v>
      </c>
      <c r="B48" s="12" t="s">
        <v>13</v>
      </c>
      <c r="C48" s="11" t="s">
        <v>11</v>
      </c>
      <c r="D48" s="13">
        <v>76.74</v>
      </c>
      <c r="E48" s="13">
        <f t="shared" si="0"/>
        <v>46.044</v>
      </c>
      <c r="F48" s="11"/>
      <c r="G48" s="11"/>
      <c r="H48" s="13">
        <f t="shared" si="1"/>
        <v>46.044</v>
      </c>
      <c r="I48" s="11">
        <v>26</v>
      </c>
    </row>
    <row r="49" ht="24" customHeight="1" spans="1:9">
      <c r="A49" s="11" t="str">
        <f>"15102010306"</f>
        <v>15102010306</v>
      </c>
      <c r="B49" s="12" t="s">
        <v>13</v>
      </c>
      <c r="C49" s="11" t="s">
        <v>11</v>
      </c>
      <c r="D49" s="13">
        <v>76.45</v>
      </c>
      <c r="E49" s="13">
        <f t="shared" si="0"/>
        <v>45.87</v>
      </c>
      <c r="F49" s="11"/>
      <c r="G49" s="11"/>
      <c r="H49" s="13">
        <f t="shared" si="1"/>
        <v>45.87</v>
      </c>
      <c r="I49" s="11">
        <v>27</v>
      </c>
    </row>
    <row r="50" ht="24" customHeight="1" spans="1:9">
      <c r="A50" s="11" t="str">
        <f>"15102010426"</f>
        <v>15102010426</v>
      </c>
      <c r="B50" s="12" t="s">
        <v>13</v>
      </c>
      <c r="C50" s="11" t="s">
        <v>11</v>
      </c>
      <c r="D50" s="13">
        <v>76.41</v>
      </c>
      <c r="E50" s="13">
        <f t="shared" si="0"/>
        <v>45.846</v>
      </c>
      <c r="F50" s="11"/>
      <c r="G50" s="11"/>
      <c r="H50" s="13">
        <f t="shared" si="1"/>
        <v>45.846</v>
      </c>
      <c r="I50" s="11">
        <v>28</v>
      </c>
    </row>
    <row r="51" ht="24" customHeight="1" spans="1:9">
      <c r="A51" s="11" t="str">
        <f>"15102010603"</f>
        <v>15102010603</v>
      </c>
      <c r="B51" s="12" t="s">
        <v>13</v>
      </c>
      <c r="C51" s="11" t="s">
        <v>11</v>
      </c>
      <c r="D51" s="13">
        <v>76.38</v>
      </c>
      <c r="E51" s="13">
        <f t="shared" si="0"/>
        <v>45.828</v>
      </c>
      <c r="F51" s="11"/>
      <c r="G51" s="11"/>
      <c r="H51" s="13">
        <f t="shared" si="1"/>
        <v>45.828</v>
      </c>
      <c r="I51" s="11">
        <v>29</v>
      </c>
    </row>
    <row r="52" ht="24" customHeight="1" spans="1:9">
      <c r="A52" s="11" t="str">
        <f>"15102010411"</f>
        <v>15102010411</v>
      </c>
      <c r="B52" s="12" t="s">
        <v>13</v>
      </c>
      <c r="C52" s="11" t="s">
        <v>11</v>
      </c>
      <c r="D52" s="13">
        <v>76.34</v>
      </c>
      <c r="E52" s="13">
        <f t="shared" si="0"/>
        <v>45.804</v>
      </c>
      <c r="F52" s="11"/>
      <c r="G52" s="11"/>
      <c r="H52" s="13">
        <f t="shared" si="1"/>
        <v>45.804</v>
      </c>
      <c r="I52" s="11">
        <v>30</v>
      </c>
    </row>
    <row r="53" ht="24" customHeight="1" spans="1:9">
      <c r="A53" s="11" t="str">
        <f>"15102010127"</f>
        <v>15102010127</v>
      </c>
      <c r="B53" s="12" t="s">
        <v>13</v>
      </c>
      <c r="C53" s="11" t="s">
        <v>11</v>
      </c>
      <c r="D53" s="13">
        <v>76.25</v>
      </c>
      <c r="E53" s="13">
        <f t="shared" si="0"/>
        <v>45.75</v>
      </c>
      <c r="F53" s="11"/>
      <c r="G53" s="11"/>
      <c r="H53" s="13">
        <f t="shared" si="1"/>
        <v>45.75</v>
      </c>
      <c r="I53" s="11">
        <v>31</v>
      </c>
    </row>
    <row r="54" ht="24" customHeight="1" spans="1:9">
      <c r="A54" s="11" t="str">
        <f>"15102010520"</f>
        <v>15102010520</v>
      </c>
      <c r="B54" s="12" t="s">
        <v>13</v>
      </c>
      <c r="C54" s="11" t="s">
        <v>12</v>
      </c>
      <c r="D54" s="13">
        <v>71.93</v>
      </c>
      <c r="E54" s="13">
        <f t="shared" si="0"/>
        <v>43.158</v>
      </c>
      <c r="F54" s="11">
        <v>2.5</v>
      </c>
      <c r="G54" s="11"/>
      <c r="H54" s="13">
        <f t="shared" si="1"/>
        <v>45.658</v>
      </c>
      <c r="I54" s="11">
        <v>32</v>
      </c>
    </row>
    <row r="55" ht="24" customHeight="1" spans="1:9">
      <c r="A55" s="11" t="str">
        <f>"15102010322"</f>
        <v>15102010322</v>
      </c>
      <c r="B55" s="12" t="s">
        <v>13</v>
      </c>
      <c r="C55" s="11" t="s">
        <v>11</v>
      </c>
      <c r="D55" s="13">
        <v>76.06</v>
      </c>
      <c r="E55" s="13">
        <f t="shared" si="0"/>
        <v>45.636</v>
      </c>
      <c r="F55" s="11"/>
      <c r="G55" s="11"/>
      <c r="H55" s="13">
        <f t="shared" si="1"/>
        <v>45.636</v>
      </c>
      <c r="I55" s="11">
        <v>33</v>
      </c>
    </row>
    <row r="56" ht="24" customHeight="1" spans="1:9">
      <c r="A56" s="11" t="str">
        <f>"15102010714"</f>
        <v>15102010714</v>
      </c>
      <c r="B56" s="12" t="s">
        <v>13</v>
      </c>
      <c r="C56" s="11" t="s">
        <v>11</v>
      </c>
      <c r="D56" s="13">
        <v>76.03</v>
      </c>
      <c r="E56" s="13">
        <f t="shared" si="0"/>
        <v>45.618</v>
      </c>
      <c r="F56" s="11"/>
      <c r="G56" s="11"/>
      <c r="H56" s="13">
        <f t="shared" si="1"/>
        <v>45.618</v>
      </c>
      <c r="I56" s="11">
        <v>34</v>
      </c>
    </row>
    <row r="57" ht="24" customHeight="1" spans="1:9">
      <c r="A57" s="11" t="str">
        <f>"15102010427"</f>
        <v>15102010427</v>
      </c>
      <c r="B57" s="12" t="s">
        <v>13</v>
      </c>
      <c r="C57" s="11" t="s">
        <v>11</v>
      </c>
      <c r="D57" s="13">
        <v>75.94</v>
      </c>
      <c r="E57" s="13">
        <f t="shared" si="0"/>
        <v>45.564</v>
      </c>
      <c r="F57" s="11"/>
      <c r="G57" s="11"/>
      <c r="H57" s="13">
        <f t="shared" si="1"/>
        <v>45.564</v>
      </c>
      <c r="I57" s="11">
        <v>35</v>
      </c>
    </row>
    <row r="58" ht="24" customHeight="1" spans="1:9">
      <c r="A58" s="11" t="str">
        <f>"15102010218"</f>
        <v>15102010218</v>
      </c>
      <c r="B58" s="12" t="s">
        <v>13</v>
      </c>
      <c r="C58" s="11" t="s">
        <v>12</v>
      </c>
      <c r="D58" s="13">
        <v>71.69</v>
      </c>
      <c r="E58" s="13">
        <f t="shared" si="0"/>
        <v>43.014</v>
      </c>
      <c r="F58" s="11">
        <v>2.5</v>
      </c>
      <c r="G58" s="11"/>
      <c r="H58" s="13">
        <f t="shared" si="1"/>
        <v>45.514</v>
      </c>
      <c r="I58" s="11">
        <v>36</v>
      </c>
    </row>
    <row r="59" ht="24" customHeight="1" spans="1:9">
      <c r="A59" s="11" t="str">
        <f>"15102010303"</f>
        <v>15102010303</v>
      </c>
      <c r="B59" s="12" t="s">
        <v>13</v>
      </c>
      <c r="C59" s="11" t="s">
        <v>11</v>
      </c>
      <c r="D59" s="13">
        <v>75.69</v>
      </c>
      <c r="E59" s="13">
        <f t="shared" si="0"/>
        <v>45.414</v>
      </c>
      <c r="F59" s="11"/>
      <c r="G59" s="11"/>
      <c r="H59" s="13">
        <f t="shared" si="1"/>
        <v>45.414</v>
      </c>
      <c r="I59" s="11">
        <v>37</v>
      </c>
    </row>
    <row r="60" ht="24" customHeight="1" spans="1:9">
      <c r="A60" s="11" t="str">
        <f>"15102010612"</f>
        <v>15102010612</v>
      </c>
      <c r="B60" s="12" t="s">
        <v>13</v>
      </c>
      <c r="C60" s="11" t="s">
        <v>11</v>
      </c>
      <c r="D60" s="13">
        <v>75.6</v>
      </c>
      <c r="E60" s="13">
        <f t="shared" si="0"/>
        <v>45.36</v>
      </c>
      <c r="F60" s="11"/>
      <c r="G60" s="11"/>
      <c r="H60" s="13">
        <f t="shared" si="1"/>
        <v>45.36</v>
      </c>
      <c r="I60" s="11">
        <v>38</v>
      </c>
    </row>
    <row r="61" ht="24" customHeight="1" spans="1:9">
      <c r="A61" s="11" t="str">
        <f>"15102010730"</f>
        <v>15102010730</v>
      </c>
      <c r="B61" s="12" t="s">
        <v>13</v>
      </c>
      <c r="C61" s="11" t="s">
        <v>11</v>
      </c>
      <c r="D61" s="13">
        <v>75.57</v>
      </c>
      <c r="E61" s="13">
        <f t="shared" si="0"/>
        <v>45.342</v>
      </c>
      <c r="F61" s="11"/>
      <c r="G61" s="11"/>
      <c r="H61" s="13">
        <f t="shared" si="1"/>
        <v>45.342</v>
      </c>
      <c r="I61" s="11">
        <v>39</v>
      </c>
    </row>
    <row r="62" ht="24" customHeight="1" spans="1:9">
      <c r="A62" s="11" t="str">
        <f>"15102010308"</f>
        <v>15102010308</v>
      </c>
      <c r="B62" s="12" t="s">
        <v>13</v>
      </c>
      <c r="C62" s="11" t="s">
        <v>11</v>
      </c>
      <c r="D62" s="13">
        <v>75.35</v>
      </c>
      <c r="E62" s="13">
        <f t="shared" si="0"/>
        <v>45.21</v>
      </c>
      <c r="F62" s="11"/>
      <c r="G62" s="11"/>
      <c r="H62" s="13">
        <f t="shared" si="1"/>
        <v>45.21</v>
      </c>
      <c r="I62" s="11">
        <v>40</v>
      </c>
    </row>
    <row r="63" ht="24" customHeight="1" spans="1:9">
      <c r="A63" s="11" t="str">
        <f>"15102010510"</f>
        <v>15102010510</v>
      </c>
      <c r="B63" s="12" t="s">
        <v>13</v>
      </c>
      <c r="C63" s="11" t="s">
        <v>11</v>
      </c>
      <c r="D63" s="13">
        <v>75.25</v>
      </c>
      <c r="E63" s="13">
        <f t="shared" si="0"/>
        <v>45.15</v>
      </c>
      <c r="F63" s="11"/>
      <c r="G63" s="11"/>
      <c r="H63" s="13">
        <f t="shared" si="1"/>
        <v>45.15</v>
      </c>
      <c r="I63" s="11">
        <v>41</v>
      </c>
    </row>
    <row r="64" ht="24" customHeight="1" spans="1:9">
      <c r="A64" s="11" t="str">
        <f>"15102010601"</f>
        <v>15102010601</v>
      </c>
      <c r="B64" s="12" t="s">
        <v>13</v>
      </c>
      <c r="C64" s="11" t="s">
        <v>11</v>
      </c>
      <c r="D64" s="13">
        <v>75.14</v>
      </c>
      <c r="E64" s="13">
        <f t="shared" si="0"/>
        <v>45.084</v>
      </c>
      <c r="F64" s="11"/>
      <c r="G64" s="11"/>
      <c r="H64" s="13">
        <f t="shared" si="1"/>
        <v>45.084</v>
      </c>
      <c r="I64" s="11">
        <v>42</v>
      </c>
    </row>
    <row r="65" ht="24" customHeight="1" spans="1:9">
      <c r="A65" s="11" t="str">
        <f>"15102010528"</f>
        <v>15102010528</v>
      </c>
      <c r="B65" s="12" t="s">
        <v>13</v>
      </c>
      <c r="C65" s="11" t="s">
        <v>11</v>
      </c>
      <c r="D65" s="13">
        <v>75.1</v>
      </c>
      <c r="E65" s="13">
        <f t="shared" si="0"/>
        <v>45.06</v>
      </c>
      <c r="F65" s="11"/>
      <c r="G65" s="11"/>
      <c r="H65" s="13">
        <f t="shared" si="1"/>
        <v>45.06</v>
      </c>
      <c r="I65" s="11">
        <v>43</v>
      </c>
    </row>
    <row r="66" ht="24" customHeight="1" spans="1:9">
      <c r="A66" s="11" t="str">
        <f>"15102010802"</f>
        <v>15102010802</v>
      </c>
      <c r="B66" s="12" t="s">
        <v>13</v>
      </c>
      <c r="C66" s="11" t="s">
        <v>11</v>
      </c>
      <c r="D66" s="13">
        <v>74.97</v>
      </c>
      <c r="E66" s="13">
        <f t="shared" si="0"/>
        <v>44.982</v>
      </c>
      <c r="F66" s="11"/>
      <c r="G66" s="11"/>
      <c r="H66" s="13">
        <f t="shared" si="1"/>
        <v>44.982</v>
      </c>
      <c r="I66" s="11">
        <v>44</v>
      </c>
    </row>
    <row r="67" ht="24" customHeight="1" spans="1:9">
      <c r="A67" s="14" t="str">
        <f>"15102010529"</f>
        <v>15102010529</v>
      </c>
      <c r="B67" s="15" t="s">
        <v>13</v>
      </c>
      <c r="C67" s="14" t="s">
        <v>11</v>
      </c>
      <c r="D67" s="16">
        <v>74.71</v>
      </c>
      <c r="E67" s="16">
        <f t="shared" ref="E67:E130" si="2">D67*0.6</f>
        <v>44.826</v>
      </c>
      <c r="F67" s="14"/>
      <c r="G67" s="14"/>
      <c r="H67" s="16">
        <f t="shared" ref="H67:H130" si="3">SUM(E67:G67)</f>
        <v>44.826</v>
      </c>
      <c r="I67" s="14">
        <v>45</v>
      </c>
    </row>
    <row r="68" ht="24" customHeight="1" spans="1:9">
      <c r="A68" s="14" t="str">
        <f>"15102010203"</f>
        <v>15102010203</v>
      </c>
      <c r="B68" s="15" t="s">
        <v>13</v>
      </c>
      <c r="C68" s="14" t="s">
        <v>11</v>
      </c>
      <c r="D68" s="16">
        <v>74.7</v>
      </c>
      <c r="E68" s="16">
        <f t="shared" si="2"/>
        <v>44.82</v>
      </c>
      <c r="F68" s="14"/>
      <c r="G68" s="14"/>
      <c r="H68" s="16">
        <f t="shared" si="3"/>
        <v>44.82</v>
      </c>
      <c r="I68" s="14">
        <v>46</v>
      </c>
    </row>
    <row r="69" ht="24" customHeight="1" spans="1:9">
      <c r="A69" s="14" t="str">
        <f>"15102010517"</f>
        <v>15102010517</v>
      </c>
      <c r="B69" s="15" t="s">
        <v>13</v>
      </c>
      <c r="C69" s="14" t="s">
        <v>11</v>
      </c>
      <c r="D69" s="16">
        <v>74.62</v>
      </c>
      <c r="E69" s="16">
        <f t="shared" si="2"/>
        <v>44.772</v>
      </c>
      <c r="F69" s="14"/>
      <c r="G69" s="14"/>
      <c r="H69" s="16">
        <f t="shared" si="3"/>
        <v>44.772</v>
      </c>
      <c r="I69" s="14">
        <v>47</v>
      </c>
    </row>
    <row r="70" ht="24" customHeight="1" spans="1:9">
      <c r="A70" s="14" t="str">
        <f>"15102010404"</f>
        <v>15102010404</v>
      </c>
      <c r="B70" s="15" t="s">
        <v>13</v>
      </c>
      <c r="C70" s="14" t="s">
        <v>12</v>
      </c>
      <c r="D70" s="16">
        <v>70.36</v>
      </c>
      <c r="E70" s="16">
        <f t="shared" si="2"/>
        <v>42.216</v>
      </c>
      <c r="F70" s="14">
        <v>2.5</v>
      </c>
      <c r="G70" s="14"/>
      <c r="H70" s="16">
        <f t="shared" si="3"/>
        <v>44.716</v>
      </c>
      <c r="I70" s="14">
        <v>48</v>
      </c>
    </row>
    <row r="71" ht="24" customHeight="1" spans="1:9">
      <c r="A71" s="14" t="str">
        <f>"15102010619"</f>
        <v>15102010619</v>
      </c>
      <c r="B71" s="15" t="s">
        <v>13</v>
      </c>
      <c r="C71" s="14" t="s">
        <v>11</v>
      </c>
      <c r="D71" s="16">
        <v>74.34</v>
      </c>
      <c r="E71" s="16">
        <f t="shared" si="2"/>
        <v>44.604</v>
      </c>
      <c r="F71" s="14"/>
      <c r="G71" s="14"/>
      <c r="H71" s="16">
        <f t="shared" si="3"/>
        <v>44.604</v>
      </c>
      <c r="I71" s="14">
        <v>49</v>
      </c>
    </row>
    <row r="72" ht="24" customHeight="1" spans="1:9">
      <c r="A72" s="14" t="str">
        <f>"15102010121"</f>
        <v>15102010121</v>
      </c>
      <c r="B72" s="15" t="s">
        <v>13</v>
      </c>
      <c r="C72" s="14" t="s">
        <v>11</v>
      </c>
      <c r="D72" s="16">
        <v>74.16</v>
      </c>
      <c r="E72" s="16">
        <f t="shared" si="2"/>
        <v>44.496</v>
      </c>
      <c r="F72" s="14"/>
      <c r="G72" s="14"/>
      <c r="H72" s="16">
        <f t="shared" si="3"/>
        <v>44.496</v>
      </c>
      <c r="I72" s="14">
        <v>50</v>
      </c>
    </row>
    <row r="73" ht="24" customHeight="1" spans="1:9">
      <c r="A73" s="14" t="str">
        <f>"15102010513"</f>
        <v>15102010513</v>
      </c>
      <c r="B73" s="15" t="s">
        <v>13</v>
      </c>
      <c r="C73" s="14" t="s">
        <v>11</v>
      </c>
      <c r="D73" s="16">
        <v>74.12</v>
      </c>
      <c r="E73" s="16">
        <f t="shared" si="2"/>
        <v>44.472</v>
      </c>
      <c r="F73" s="14"/>
      <c r="G73" s="14"/>
      <c r="H73" s="16">
        <f t="shared" si="3"/>
        <v>44.472</v>
      </c>
      <c r="I73" s="14">
        <v>51</v>
      </c>
    </row>
    <row r="74" ht="24" customHeight="1" spans="1:9">
      <c r="A74" s="14" t="str">
        <f>"15102010522"</f>
        <v>15102010522</v>
      </c>
      <c r="B74" s="15" t="s">
        <v>13</v>
      </c>
      <c r="C74" s="14" t="s">
        <v>11</v>
      </c>
      <c r="D74" s="16">
        <v>73.85</v>
      </c>
      <c r="E74" s="16">
        <f t="shared" si="2"/>
        <v>44.31</v>
      </c>
      <c r="F74" s="14"/>
      <c r="G74" s="14"/>
      <c r="H74" s="16">
        <f t="shared" si="3"/>
        <v>44.31</v>
      </c>
      <c r="I74" s="14">
        <v>52</v>
      </c>
    </row>
    <row r="75" ht="24" customHeight="1" spans="1:9">
      <c r="A75" s="14" t="str">
        <f>"15102010209"</f>
        <v>15102010209</v>
      </c>
      <c r="B75" s="15" t="s">
        <v>13</v>
      </c>
      <c r="C75" s="14" t="s">
        <v>11</v>
      </c>
      <c r="D75" s="16">
        <v>73.83</v>
      </c>
      <c r="E75" s="16">
        <f t="shared" si="2"/>
        <v>44.298</v>
      </c>
      <c r="F75" s="14"/>
      <c r="G75" s="14"/>
      <c r="H75" s="16">
        <f t="shared" si="3"/>
        <v>44.298</v>
      </c>
      <c r="I75" s="14">
        <v>53</v>
      </c>
    </row>
    <row r="76" ht="24" customHeight="1" spans="1:9">
      <c r="A76" s="14" t="str">
        <f>"15102010229"</f>
        <v>15102010229</v>
      </c>
      <c r="B76" s="15" t="s">
        <v>13</v>
      </c>
      <c r="C76" s="14" t="s">
        <v>11</v>
      </c>
      <c r="D76" s="16">
        <v>73.82</v>
      </c>
      <c r="E76" s="16">
        <f t="shared" si="2"/>
        <v>44.292</v>
      </c>
      <c r="F76" s="14"/>
      <c r="G76" s="14"/>
      <c r="H76" s="16">
        <f t="shared" si="3"/>
        <v>44.292</v>
      </c>
      <c r="I76" s="14">
        <v>54</v>
      </c>
    </row>
    <row r="77" ht="24" customHeight="1" spans="1:9">
      <c r="A77" s="14" t="str">
        <f>"15102010729"</f>
        <v>15102010729</v>
      </c>
      <c r="B77" s="15" t="s">
        <v>13</v>
      </c>
      <c r="C77" s="14" t="s">
        <v>11</v>
      </c>
      <c r="D77" s="16">
        <v>73.47</v>
      </c>
      <c r="E77" s="16">
        <f t="shared" si="2"/>
        <v>44.082</v>
      </c>
      <c r="F77" s="14"/>
      <c r="G77" s="14"/>
      <c r="H77" s="16">
        <f t="shared" si="3"/>
        <v>44.082</v>
      </c>
      <c r="I77" s="14">
        <v>55</v>
      </c>
    </row>
    <row r="78" ht="24" customHeight="1" spans="1:9">
      <c r="A78" s="14" t="str">
        <f>"15102010515"</f>
        <v>15102010515</v>
      </c>
      <c r="B78" s="15" t="s">
        <v>13</v>
      </c>
      <c r="C78" s="14" t="s">
        <v>11</v>
      </c>
      <c r="D78" s="16">
        <v>73.46</v>
      </c>
      <c r="E78" s="16">
        <f t="shared" si="2"/>
        <v>44.076</v>
      </c>
      <c r="F78" s="14"/>
      <c r="G78" s="14"/>
      <c r="H78" s="16">
        <f t="shared" si="3"/>
        <v>44.076</v>
      </c>
      <c r="I78" s="14">
        <v>56</v>
      </c>
    </row>
    <row r="79" ht="24" customHeight="1" spans="1:9">
      <c r="A79" s="14" t="str">
        <f>"15102010302"</f>
        <v>15102010302</v>
      </c>
      <c r="B79" s="15" t="s">
        <v>13</v>
      </c>
      <c r="C79" s="14" t="s">
        <v>11</v>
      </c>
      <c r="D79" s="16">
        <v>73.43</v>
      </c>
      <c r="E79" s="16">
        <f t="shared" si="2"/>
        <v>44.058</v>
      </c>
      <c r="F79" s="14"/>
      <c r="G79" s="14"/>
      <c r="H79" s="16">
        <f t="shared" si="3"/>
        <v>44.058</v>
      </c>
      <c r="I79" s="14">
        <v>57</v>
      </c>
    </row>
    <row r="80" ht="24" customHeight="1" spans="1:9">
      <c r="A80" s="14" t="str">
        <f>"15102010210"</f>
        <v>15102010210</v>
      </c>
      <c r="B80" s="15" t="s">
        <v>13</v>
      </c>
      <c r="C80" s="14" t="s">
        <v>11</v>
      </c>
      <c r="D80" s="16">
        <v>73.39</v>
      </c>
      <c r="E80" s="16">
        <f t="shared" si="2"/>
        <v>44.034</v>
      </c>
      <c r="F80" s="14"/>
      <c r="G80" s="14"/>
      <c r="H80" s="16">
        <f t="shared" si="3"/>
        <v>44.034</v>
      </c>
      <c r="I80" s="14">
        <v>58</v>
      </c>
    </row>
    <row r="81" ht="24" customHeight="1" spans="1:9">
      <c r="A81" s="14" t="str">
        <f>"15102010225"</f>
        <v>15102010225</v>
      </c>
      <c r="B81" s="15" t="s">
        <v>13</v>
      </c>
      <c r="C81" s="14" t="s">
        <v>12</v>
      </c>
      <c r="D81" s="16">
        <v>69.2</v>
      </c>
      <c r="E81" s="16">
        <f t="shared" si="2"/>
        <v>41.52</v>
      </c>
      <c r="F81" s="14">
        <v>2.5</v>
      </c>
      <c r="G81" s="14"/>
      <c r="H81" s="16">
        <f t="shared" si="3"/>
        <v>44.02</v>
      </c>
      <c r="I81" s="14">
        <v>59</v>
      </c>
    </row>
    <row r="82" ht="24" customHeight="1" spans="1:9">
      <c r="A82" s="14" t="str">
        <f>"15102010702"</f>
        <v>15102010702</v>
      </c>
      <c r="B82" s="15" t="s">
        <v>13</v>
      </c>
      <c r="C82" s="14" t="s">
        <v>11</v>
      </c>
      <c r="D82" s="16">
        <v>73.35</v>
      </c>
      <c r="E82" s="16">
        <f t="shared" si="2"/>
        <v>44.01</v>
      </c>
      <c r="F82" s="14"/>
      <c r="G82" s="14"/>
      <c r="H82" s="16">
        <f t="shared" si="3"/>
        <v>44.01</v>
      </c>
      <c r="I82" s="14">
        <v>60</v>
      </c>
    </row>
    <row r="83" ht="24" customHeight="1" spans="1:9">
      <c r="A83" s="14" t="str">
        <f>"15102010202"</f>
        <v>15102010202</v>
      </c>
      <c r="B83" s="15" t="s">
        <v>13</v>
      </c>
      <c r="C83" s="14" t="s">
        <v>11</v>
      </c>
      <c r="D83" s="16">
        <v>73.3</v>
      </c>
      <c r="E83" s="16">
        <f t="shared" si="2"/>
        <v>43.98</v>
      </c>
      <c r="F83" s="14"/>
      <c r="G83" s="14"/>
      <c r="H83" s="16">
        <f t="shared" si="3"/>
        <v>43.98</v>
      </c>
      <c r="I83" s="14">
        <v>61</v>
      </c>
    </row>
    <row r="84" ht="24" customHeight="1" spans="1:9">
      <c r="A84" s="14" t="str">
        <f>"15102010324"</f>
        <v>15102010324</v>
      </c>
      <c r="B84" s="15" t="s">
        <v>13</v>
      </c>
      <c r="C84" s="14" t="s">
        <v>11</v>
      </c>
      <c r="D84" s="16">
        <v>73.29</v>
      </c>
      <c r="E84" s="16">
        <f t="shared" si="2"/>
        <v>43.974</v>
      </c>
      <c r="F84" s="14"/>
      <c r="G84" s="14"/>
      <c r="H84" s="16">
        <f t="shared" si="3"/>
        <v>43.974</v>
      </c>
      <c r="I84" s="14">
        <v>62</v>
      </c>
    </row>
    <row r="85" ht="24" customHeight="1" spans="1:9">
      <c r="A85" s="14" t="str">
        <f>"15102010122"</f>
        <v>15102010122</v>
      </c>
      <c r="B85" s="15" t="s">
        <v>13</v>
      </c>
      <c r="C85" s="14" t="s">
        <v>11</v>
      </c>
      <c r="D85" s="16">
        <v>73.27</v>
      </c>
      <c r="E85" s="16">
        <f t="shared" si="2"/>
        <v>43.962</v>
      </c>
      <c r="F85" s="14"/>
      <c r="G85" s="14"/>
      <c r="H85" s="16">
        <f t="shared" si="3"/>
        <v>43.962</v>
      </c>
      <c r="I85" s="14">
        <v>63</v>
      </c>
    </row>
    <row r="86" ht="24" customHeight="1" spans="1:9">
      <c r="A86" s="14" t="str">
        <f>"15102010310"</f>
        <v>15102010310</v>
      </c>
      <c r="B86" s="15" t="s">
        <v>13</v>
      </c>
      <c r="C86" s="14" t="s">
        <v>11</v>
      </c>
      <c r="D86" s="16">
        <v>73.24</v>
      </c>
      <c r="E86" s="16">
        <f t="shared" si="2"/>
        <v>43.944</v>
      </c>
      <c r="F86" s="14"/>
      <c r="G86" s="14"/>
      <c r="H86" s="16">
        <f t="shared" si="3"/>
        <v>43.944</v>
      </c>
      <c r="I86" s="14">
        <v>64</v>
      </c>
    </row>
    <row r="87" ht="24" customHeight="1" spans="1:9">
      <c r="A87" s="14" t="str">
        <f>"15102010304"</f>
        <v>15102010304</v>
      </c>
      <c r="B87" s="15" t="s">
        <v>13</v>
      </c>
      <c r="C87" s="14" t="s">
        <v>11</v>
      </c>
      <c r="D87" s="16">
        <v>73.12</v>
      </c>
      <c r="E87" s="16">
        <f t="shared" si="2"/>
        <v>43.872</v>
      </c>
      <c r="F87" s="14"/>
      <c r="G87" s="14"/>
      <c r="H87" s="16">
        <f t="shared" si="3"/>
        <v>43.872</v>
      </c>
      <c r="I87" s="14">
        <v>65</v>
      </c>
    </row>
    <row r="88" ht="24" customHeight="1" spans="1:9">
      <c r="A88" s="14" t="str">
        <f>"15102010204"</f>
        <v>15102010204</v>
      </c>
      <c r="B88" s="15" t="s">
        <v>13</v>
      </c>
      <c r="C88" s="14" t="s">
        <v>11</v>
      </c>
      <c r="D88" s="16">
        <v>72.94</v>
      </c>
      <c r="E88" s="16">
        <f t="shared" si="2"/>
        <v>43.764</v>
      </c>
      <c r="F88" s="14"/>
      <c r="G88" s="14"/>
      <c r="H88" s="16">
        <f t="shared" si="3"/>
        <v>43.764</v>
      </c>
      <c r="I88" s="14">
        <v>66</v>
      </c>
    </row>
    <row r="89" ht="24" customHeight="1" spans="1:9">
      <c r="A89" s="14" t="str">
        <f>"15102010211"</f>
        <v>15102010211</v>
      </c>
      <c r="B89" s="15" t="s">
        <v>13</v>
      </c>
      <c r="C89" s="14" t="s">
        <v>11</v>
      </c>
      <c r="D89" s="16">
        <v>72.9</v>
      </c>
      <c r="E89" s="16">
        <f t="shared" si="2"/>
        <v>43.74</v>
      </c>
      <c r="F89" s="14"/>
      <c r="G89" s="14"/>
      <c r="H89" s="16">
        <f t="shared" si="3"/>
        <v>43.74</v>
      </c>
      <c r="I89" s="14">
        <v>67</v>
      </c>
    </row>
    <row r="90" ht="24" customHeight="1" spans="1:9">
      <c r="A90" s="14" t="str">
        <f>"15102010219"</f>
        <v>15102010219</v>
      </c>
      <c r="B90" s="15" t="s">
        <v>13</v>
      </c>
      <c r="C90" s="14" t="s">
        <v>11</v>
      </c>
      <c r="D90" s="16">
        <v>72.8</v>
      </c>
      <c r="E90" s="16">
        <f t="shared" si="2"/>
        <v>43.68</v>
      </c>
      <c r="F90" s="14"/>
      <c r="G90" s="14"/>
      <c r="H90" s="16">
        <f t="shared" si="3"/>
        <v>43.68</v>
      </c>
      <c r="I90" s="14">
        <v>68</v>
      </c>
    </row>
    <row r="91" ht="24" customHeight="1" spans="1:9">
      <c r="A91" s="14" t="str">
        <f>"15102010213"</f>
        <v>15102010213</v>
      </c>
      <c r="B91" s="15" t="s">
        <v>13</v>
      </c>
      <c r="C91" s="14" t="s">
        <v>11</v>
      </c>
      <c r="D91" s="16">
        <v>72.06</v>
      </c>
      <c r="E91" s="16">
        <f t="shared" si="2"/>
        <v>43.236</v>
      </c>
      <c r="F91" s="14"/>
      <c r="G91" s="14"/>
      <c r="H91" s="16">
        <f t="shared" si="3"/>
        <v>43.236</v>
      </c>
      <c r="I91" s="14">
        <v>69</v>
      </c>
    </row>
    <row r="92" ht="24" customHeight="1" spans="1:9">
      <c r="A92" s="14" t="str">
        <f>"15102010508"</f>
        <v>15102010508</v>
      </c>
      <c r="B92" s="15" t="s">
        <v>13</v>
      </c>
      <c r="C92" s="14" t="s">
        <v>11</v>
      </c>
      <c r="D92" s="16">
        <v>72.01</v>
      </c>
      <c r="E92" s="16">
        <f t="shared" si="2"/>
        <v>43.206</v>
      </c>
      <c r="F92" s="14"/>
      <c r="G92" s="14"/>
      <c r="H92" s="16">
        <f t="shared" si="3"/>
        <v>43.206</v>
      </c>
      <c r="I92" s="14">
        <v>70</v>
      </c>
    </row>
    <row r="93" ht="24" customHeight="1" spans="1:9">
      <c r="A93" s="14" t="str">
        <f>"15102010315"</f>
        <v>15102010315</v>
      </c>
      <c r="B93" s="15" t="s">
        <v>13</v>
      </c>
      <c r="C93" s="14" t="s">
        <v>11</v>
      </c>
      <c r="D93" s="16">
        <v>71.96</v>
      </c>
      <c r="E93" s="16">
        <f t="shared" si="2"/>
        <v>43.176</v>
      </c>
      <c r="F93" s="14"/>
      <c r="G93" s="14"/>
      <c r="H93" s="16">
        <f t="shared" si="3"/>
        <v>43.176</v>
      </c>
      <c r="I93" s="14">
        <v>71</v>
      </c>
    </row>
    <row r="94" ht="24" customHeight="1" spans="1:9">
      <c r="A94" s="14" t="str">
        <f>"15102010602"</f>
        <v>15102010602</v>
      </c>
      <c r="B94" s="15" t="s">
        <v>13</v>
      </c>
      <c r="C94" s="14" t="s">
        <v>11</v>
      </c>
      <c r="D94" s="16">
        <v>71.88</v>
      </c>
      <c r="E94" s="16">
        <f t="shared" si="2"/>
        <v>43.128</v>
      </c>
      <c r="F94" s="14"/>
      <c r="G94" s="14"/>
      <c r="H94" s="16">
        <f t="shared" si="3"/>
        <v>43.128</v>
      </c>
      <c r="I94" s="14">
        <v>72</v>
      </c>
    </row>
    <row r="95" ht="24" customHeight="1" spans="1:9">
      <c r="A95" s="14" t="str">
        <f>"15102010423"</f>
        <v>15102010423</v>
      </c>
      <c r="B95" s="15" t="s">
        <v>13</v>
      </c>
      <c r="C95" s="14" t="s">
        <v>11</v>
      </c>
      <c r="D95" s="16">
        <v>71.87</v>
      </c>
      <c r="E95" s="16">
        <f t="shared" si="2"/>
        <v>43.122</v>
      </c>
      <c r="F95" s="14"/>
      <c r="G95" s="14"/>
      <c r="H95" s="16">
        <f t="shared" si="3"/>
        <v>43.122</v>
      </c>
      <c r="I95" s="14">
        <v>73</v>
      </c>
    </row>
    <row r="96" ht="24" customHeight="1" spans="1:9">
      <c r="A96" s="14" t="str">
        <f>"15102010509"</f>
        <v>15102010509</v>
      </c>
      <c r="B96" s="15" t="s">
        <v>13</v>
      </c>
      <c r="C96" s="14" t="s">
        <v>11</v>
      </c>
      <c r="D96" s="16">
        <v>71.83</v>
      </c>
      <c r="E96" s="16">
        <f t="shared" si="2"/>
        <v>43.098</v>
      </c>
      <c r="F96" s="14"/>
      <c r="G96" s="14"/>
      <c r="H96" s="16">
        <f t="shared" si="3"/>
        <v>43.098</v>
      </c>
      <c r="I96" s="14">
        <v>74</v>
      </c>
    </row>
    <row r="97" ht="24" customHeight="1" spans="1:9">
      <c r="A97" s="14" t="str">
        <f>"15102010715"</f>
        <v>15102010715</v>
      </c>
      <c r="B97" s="15" t="s">
        <v>13</v>
      </c>
      <c r="C97" s="14" t="s">
        <v>11</v>
      </c>
      <c r="D97" s="16">
        <v>71.81</v>
      </c>
      <c r="E97" s="16">
        <f t="shared" si="2"/>
        <v>43.086</v>
      </c>
      <c r="F97" s="14"/>
      <c r="G97" s="14"/>
      <c r="H97" s="16">
        <f t="shared" si="3"/>
        <v>43.086</v>
      </c>
      <c r="I97" s="14">
        <v>75</v>
      </c>
    </row>
    <row r="98" ht="24" customHeight="1" spans="1:9">
      <c r="A98" s="14" t="str">
        <f>"15102010516"</f>
        <v>15102010516</v>
      </c>
      <c r="B98" s="15" t="s">
        <v>13</v>
      </c>
      <c r="C98" s="14" t="s">
        <v>11</v>
      </c>
      <c r="D98" s="16">
        <v>71.72</v>
      </c>
      <c r="E98" s="16">
        <f t="shared" si="2"/>
        <v>43.032</v>
      </c>
      <c r="F98" s="14"/>
      <c r="G98" s="14"/>
      <c r="H98" s="16">
        <f t="shared" si="3"/>
        <v>43.032</v>
      </c>
      <c r="I98" s="14">
        <v>76</v>
      </c>
    </row>
    <row r="99" ht="24" customHeight="1" spans="1:9">
      <c r="A99" s="14" t="str">
        <f>"15102010407"</f>
        <v>15102010407</v>
      </c>
      <c r="B99" s="15" t="s">
        <v>13</v>
      </c>
      <c r="C99" s="14" t="s">
        <v>11</v>
      </c>
      <c r="D99" s="16">
        <v>71.68</v>
      </c>
      <c r="E99" s="16">
        <f t="shared" si="2"/>
        <v>43.008</v>
      </c>
      <c r="F99" s="14"/>
      <c r="G99" s="14"/>
      <c r="H99" s="16">
        <f t="shared" si="3"/>
        <v>43.008</v>
      </c>
      <c r="I99" s="14">
        <v>77</v>
      </c>
    </row>
    <row r="100" ht="24" customHeight="1" spans="1:9">
      <c r="A100" s="14" t="str">
        <f>"15102010511"</f>
        <v>15102010511</v>
      </c>
      <c r="B100" s="15" t="s">
        <v>13</v>
      </c>
      <c r="C100" s="14" t="s">
        <v>11</v>
      </c>
      <c r="D100" s="16">
        <v>71.68</v>
      </c>
      <c r="E100" s="16">
        <f t="shared" si="2"/>
        <v>43.008</v>
      </c>
      <c r="F100" s="14"/>
      <c r="G100" s="14"/>
      <c r="H100" s="16">
        <f t="shared" si="3"/>
        <v>43.008</v>
      </c>
      <c r="I100" s="14">
        <v>78</v>
      </c>
    </row>
    <row r="101" ht="24" customHeight="1" spans="1:9">
      <c r="A101" s="14" t="str">
        <f>"15102010316"</f>
        <v>15102010316</v>
      </c>
      <c r="B101" s="15" t="s">
        <v>13</v>
      </c>
      <c r="C101" s="14" t="s">
        <v>11</v>
      </c>
      <c r="D101" s="16">
        <v>71.54</v>
      </c>
      <c r="E101" s="16">
        <f t="shared" si="2"/>
        <v>42.924</v>
      </c>
      <c r="F101" s="14"/>
      <c r="G101" s="14"/>
      <c r="H101" s="16">
        <f t="shared" si="3"/>
        <v>42.924</v>
      </c>
      <c r="I101" s="14">
        <v>79</v>
      </c>
    </row>
    <row r="102" ht="24" customHeight="1" spans="1:9">
      <c r="A102" s="14" t="str">
        <f>"15102010525"</f>
        <v>15102010525</v>
      </c>
      <c r="B102" s="15" t="s">
        <v>13</v>
      </c>
      <c r="C102" s="14" t="s">
        <v>11</v>
      </c>
      <c r="D102" s="16">
        <v>71.33</v>
      </c>
      <c r="E102" s="16">
        <f t="shared" si="2"/>
        <v>42.798</v>
      </c>
      <c r="F102" s="14"/>
      <c r="G102" s="14"/>
      <c r="H102" s="16">
        <f t="shared" si="3"/>
        <v>42.798</v>
      </c>
      <c r="I102" s="14">
        <v>80</v>
      </c>
    </row>
    <row r="103" ht="24" customHeight="1" spans="1:9">
      <c r="A103" s="14" t="str">
        <f>"15102010320"</f>
        <v>15102010320</v>
      </c>
      <c r="B103" s="15" t="s">
        <v>13</v>
      </c>
      <c r="C103" s="14" t="s">
        <v>11</v>
      </c>
      <c r="D103" s="16">
        <v>71.26</v>
      </c>
      <c r="E103" s="16">
        <f t="shared" si="2"/>
        <v>42.756</v>
      </c>
      <c r="F103" s="14"/>
      <c r="G103" s="14"/>
      <c r="H103" s="16">
        <f t="shared" si="3"/>
        <v>42.756</v>
      </c>
      <c r="I103" s="14">
        <v>81</v>
      </c>
    </row>
    <row r="104" ht="24" customHeight="1" spans="1:9">
      <c r="A104" s="14" t="str">
        <f>"15102010723"</f>
        <v>15102010723</v>
      </c>
      <c r="B104" s="15" t="s">
        <v>13</v>
      </c>
      <c r="C104" s="14" t="s">
        <v>11</v>
      </c>
      <c r="D104" s="16">
        <v>71.09</v>
      </c>
      <c r="E104" s="16">
        <f t="shared" si="2"/>
        <v>42.654</v>
      </c>
      <c r="F104" s="14"/>
      <c r="G104" s="14"/>
      <c r="H104" s="16">
        <f t="shared" si="3"/>
        <v>42.654</v>
      </c>
      <c r="I104" s="14">
        <v>82</v>
      </c>
    </row>
    <row r="105" ht="24" customHeight="1" spans="1:9">
      <c r="A105" s="14" t="str">
        <f>"15102010617"</f>
        <v>15102010617</v>
      </c>
      <c r="B105" s="15" t="s">
        <v>13</v>
      </c>
      <c r="C105" s="14" t="s">
        <v>11</v>
      </c>
      <c r="D105" s="16">
        <v>71.01</v>
      </c>
      <c r="E105" s="16">
        <f t="shared" si="2"/>
        <v>42.606</v>
      </c>
      <c r="F105" s="14"/>
      <c r="G105" s="14"/>
      <c r="H105" s="16">
        <f t="shared" si="3"/>
        <v>42.606</v>
      </c>
      <c r="I105" s="14">
        <v>83</v>
      </c>
    </row>
    <row r="106" ht="24" customHeight="1" spans="1:9">
      <c r="A106" s="14" t="str">
        <f>"15102010207"</f>
        <v>15102010207</v>
      </c>
      <c r="B106" s="15" t="s">
        <v>13</v>
      </c>
      <c r="C106" s="14" t="s">
        <v>11</v>
      </c>
      <c r="D106" s="16">
        <v>70.96</v>
      </c>
      <c r="E106" s="16">
        <f t="shared" si="2"/>
        <v>42.576</v>
      </c>
      <c r="F106" s="14"/>
      <c r="G106" s="14"/>
      <c r="H106" s="16">
        <f t="shared" si="3"/>
        <v>42.576</v>
      </c>
      <c r="I106" s="14">
        <v>84</v>
      </c>
    </row>
    <row r="107" ht="24" customHeight="1" spans="1:9">
      <c r="A107" s="14" t="str">
        <f>"15102010224"</f>
        <v>15102010224</v>
      </c>
      <c r="B107" s="15" t="s">
        <v>13</v>
      </c>
      <c r="C107" s="14" t="s">
        <v>11</v>
      </c>
      <c r="D107" s="16">
        <v>70.91</v>
      </c>
      <c r="E107" s="16">
        <f t="shared" si="2"/>
        <v>42.546</v>
      </c>
      <c r="F107" s="14"/>
      <c r="G107" s="14"/>
      <c r="H107" s="16">
        <f t="shared" si="3"/>
        <v>42.546</v>
      </c>
      <c r="I107" s="14">
        <v>85</v>
      </c>
    </row>
    <row r="108" ht="24" customHeight="1" spans="1:9">
      <c r="A108" s="14" t="str">
        <f>"15102010703"</f>
        <v>15102010703</v>
      </c>
      <c r="B108" s="15" t="s">
        <v>13</v>
      </c>
      <c r="C108" s="14" t="s">
        <v>11</v>
      </c>
      <c r="D108" s="16">
        <v>70.87</v>
      </c>
      <c r="E108" s="16">
        <f t="shared" si="2"/>
        <v>42.522</v>
      </c>
      <c r="F108" s="14"/>
      <c r="G108" s="14"/>
      <c r="H108" s="16">
        <f t="shared" si="3"/>
        <v>42.522</v>
      </c>
      <c r="I108" s="14">
        <v>86</v>
      </c>
    </row>
    <row r="109" ht="24" customHeight="1" spans="1:9">
      <c r="A109" s="14" t="str">
        <f>"15102010710"</f>
        <v>15102010710</v>
      </c>
      <c r="B109" s="15" t="s">
        <v>13</v>
      </c>
      <c r="C109" s="14" t="s">
        <v>11</v>
      </c>
      <c r="D109" s="16">
        <v>70.86</v>
      </c>
      <c r="E109" s="16">
        <f t="shared" si="2"/>
        <v>42.516</v>
      </c>
      <c r="F109" s="14"/>
      <c r="G109" s="14"/>
      <c r="H109" s="16">
        <f t="shared" si="3"/>
        <v>42.516</v>
      </c>
      <c r="I109" s="14">
        <v>87</v>
      </c>
    </row>
    <row r="110" ht="24" customHeight="1" spans="1:9">
      <c r="A110" s="14" t="str">
        <f>"15102010425"</f>
        <v>15102010425</v>
      </c>
      <c r="B110" s="15" t="s">
        <v>13</v>
      </c>
      <c r="C110" s="14" t="s">
        <v>11</v>
      </c>
      <c r="D110" s="16">
        <v>70.82</v>
      </c>
      <c r="E110" s="16">
        <f t="shared" si="2"/>
        <v>42.492</v>
      </c>
      <c r="F110" s="14"/>
      <c r="G110" s="14"/>
      <c r="H110" s="16">
        <f t="shared" si="3"/>
        <v>42.492</v>
      </c>
      <c r="I110" s="14">
        <v>88</v>
      </c>
    </row>
    <row r="111" ht="24" customHeight="1" spans="1:9">
      <c r="A111" s="14" t="str">
        <f>"15102010621"</f>
        <v>15102010621</v>
      </c>
      <c r="B111" s="15" t="s">
        <v>13</v>
      </c>
      <c r="C111" s="14" t="s">
        <v>11</v>
      </c>
      <c r="D111" s="16">
        <v>70.73</v>
      </c>
      <c r="E111" s="16">
        <f t="shared" si="2"/>
        <v>42.438</v>
      </c>
      <c r="F111" s="14"/>
      <c r="G111" s="14"/>
      <c r="H111" s="16">
        <f t="shared" si="3"/>
        <v>42.438</v>
      </c>
      <c r="I111" s="14">
        <v>89</v>
      </c>
    </row>
    <row r="112" ht="24" customHeight="1" spans="1:9">
      <c r="A112" s="14" t="str">
        <f>"15102010415"</f>
        <v>15102010415</v>
      </c>
      <c r="B112" s="15" t="s">
        <v>13</v>
      </c>
      <c r="C112" s="14" t="s">
        <v>12</v>
      </c>
      <c r="D112" s="16">
        <v>66.53</v>
      </c>
      <c r="E112" s="16">
        <f t="shared" si="2"/>
        <v>39.918</v>
      </c>
      <c r="F112" s="14">
        <v>2.5</v>
      </c>
      <c r="G112" s="14"/>
      <c r="H112" s="16">
        <f t="shared" si="3"/>
        <v>42.418</v>
      </c>
      <c r="I112" s="14">
        <v>90</v>
      </c>
    </row>
    <row r="113" ht="24" customHeight="1" spans="1:9">
      <c r="A113" s="14" t="str">
        <f>"15102010420"</f>
        <v>15102010420</v>
      </c>
      <c r="B113" s="15" t="s">
        <v>13</v>
      </c>
      <c r="C113" s="14" t="s">
        <v>11</v>
      </c>
      <c r="D113" s="16">
        <v>70.58</v>
      </c>
      <c r="E113" s="16">
        <f t="shared" si="2"/>
        <v>42.348</v>
      </c>
      <c r="F113" s="14"/>
      <c r="G113" s="14"/>
      <c r="H113" s="16">
        <f t="shared" si="3"/>
        <v>42.348</v>
      </c>
      <c r="I113" s="14">
        <v>91</v>
      </c>
    </row>
    <row r="114" ht="24" customHeight="1" spans="1:9">
      <c r="A114" s="14" t="str">
        <f>"15102010216"</f>
        <v>15102010216</v>
      </c>
      <c r="B114" s="15" t="s">
        <v>13</v>
      </c>
      <c r="C114" s="14" t="s">
        <v>11</v>
      </c>
      <c r="D114" s="16">
        <v>70.57</v>
      </c>
      <c r="E114" s="16">
        <f t="shared" si="2"/>
        <v>42.342</v>
      </c>
      <c r="F114" s="14"/>
      <c r="G114" s="14"/>
      <c r="H114" s="16">
        <f t="shared" si="3"/>
        <v>42.342</v>
      </c>
      <c r="I114" s="14">
        <v>92</v>
      </c>
    </row>
    <row r="115" ht="24" customHeight="1" spans="1:9">
      <c r="A115" s="14" t="str">
        <f>"15102010606"</f>
        <v>15102010606</v>
      </c>
      <c r="B115" s="15" t="s">
        <v>13</v>
      </c>
      <c r="C115" s="14" t="s">
        <v>11</v>
      </c>
      <c r="D115" s="16">
        <v>70.52</v>
      </c>
      <c r="E115" s="16">
        <f t="shared" si="2"/>
        <v>42.312</v>
      </c>
      <c r="F115" s="14"/>
      <c r="G115" s="14"/>
      <c r="H115" s="16">
        <f t="shared" si="3"/>
        <v>42.312</v>
      </c>
      <c r="I115" s="14">
        <v>93</v>
      </c>
    </row>
    <row r="116" ht="24" customHeight="1" spans="1:9">
      <c r="A116" s="14" t="str">
        <f>"15102010419"</f>
        <v>15102010419</v>
      </c>
      <c r="B116" s="15" t="s">
        <v>13</v>
      </c>
      <c r="C116" s="14" t="s">
        <v>11</v>
      </c>
      <c r="D116" s="16">
        <v>70.49</v>
      </c>
      <c r="E116" s="16">
        <f t="shared" si="2"/>
        <v>42.294</v>
      </c>
      <c r="F116" s="14"/>
      <c r="G116" s="14"/>
      <c r="H116" s="16">
        <f t="shared" si="3"/>
        <v>42.294</v>
      </c>
      <c r="I116" s="14">
        <v>94</v>
      </c>
    </row>
    <row r="117" ht="24" customHeight="1" spans="1:9">
      <c r="A117" s="14" t="str">
        <f>"15102010429"</f>
        <v>15102010429</v>
      </c>
      <c r="B117" s="15" t="s">
        <v>13</v>
      </c>
      <c r="C117" s="14" t="s">
        <v>11</v>
      </c>
      <c r="D117" s="16">
        <v>70.45</v>
      </c>
      <c r="E117" s="16">
        <f t="shared" si="2"/>
        <v>42.27</v>
      </c>
      <c r="F117" s="14"/>
      <c r="G117" s="14"/>
      <c r="H117" s="16">
        <f t="shared" si="3"/>
        <v>42.27</v>
      </c>
      <c r="I117" s="14">
        <v>95</v>
      </c>
    </row>
    <row r="118" ht="24" customHeight="1" spans="1:9">
      <c r="A118" s="14" t="str">
        <f>"15102010330"</f>
        <v>15102010330</v>
      </c>
      <c r="B118" s="15" t="s">
        <v>13</v>
      </c>
      <c r="C118" s="14" t="s">
        <v>11</v>
      </c>
      <c r="D118" s="16">
        <v>70.22</v>
      </c>
      <c r="E118" s="16">
        <f t="shared" si="2"/>
        <v>42.132</v>
      </c>
      <c r="F118" s="14"/>
      <c r="G118" s="14"/>
      <c r="H118" s="16">
        <f t="shared" si="3"/>
        <v>42.132</v>
      </c>
      <c r="I118" s="14">
        <v>96</v>
      </c>
    </row>
    <row r="119" ht="24" customHeight="1" spans="1:9">
      <c r="A119" s="14" t="str">
        <f>"15102010512"</f>
        <v>15102010512</v>
      </c>
      <c r="B119" s="15" t="s">
        <v>13</v>
      </c>
      <c r="C119" s="14" t="s">
        <v>11</v>
      </c>
      <c r="D119" s="16">
        <v>70.09</v>
      </c>
      <c r="E119" s="16">
        <f t="shared" si="2"/>
        <v>42.054</v>
      </c>
      <c r="F119" s="14"/>
      <c r="G119" s="14"/>
      <c r="H119" s="16">
        <f t="shared" si="3"/>
        <v>42.054</v>
      </c>
      <c r="I119" s="14">
        <v>97</v>
      </c>
    </row>
    <row r="120" ht="24" customHeight="1" spans="1:9">
      <c r="A120" s="14" t="str">
        <f>"15102010428"</f>
        <v>15102010428</v>
      </c>
      <c r="B120" s="15" t="s">
        <v>13</v>
      </c>
      <c r="C120" s="14" t="s">
        <v>11</v>
      </c>
      <c r="D120" s="16">
        <v>69.94</v>
      </c>
      <c r="E120" s="16">
        <f t="shared" si="2"/>
        <v>41.964</v>
      </c>
      <c r="F120" s="14"/>
      <c r="G120" s="14"/>
      <c r="H120" s="16">
        <f t="shared" si="3"/>
        <v>41.964</v>
      </c>
      <c r="I120" s="14">
        <v>98</v>
      </c>
    </row>
    <row r="121" ht="24" customHeight="1" spans="1:9">
      <c r="A121" s="14" t="str">
        <f>"15102010611"</f>
        <v>15102010611</v>
      </c>
      <c r="B121" s="15" t="s">
        <v>13</v>
      </c>
      <c r="C121" s="14" t="s">
        <v>11</v>
      </c>
      <c r="D121" s="16">
        <v>69.91</v>
      </c>
      <c r="E121" s="16">
        <f t="shared" si="2"/>
        <v>41.946</v>
      </c>
      <c r="F121" s="14"/>
      <c r="G121" s="14"/>
      <c r="H121" s="16">
        <f t="shared" si="3"/>
        <v>41.946</v>
      </c>
      <c r="I121" s="14">
        <v>99</v>
      </c>
    </row>
    <row r="122" ht="24" customHeight="1" spans="1:9">
      <c r="A122" s="14" t="str">
        <f>"15102010705"</f>
        <v>15102010705</v>
      </c>
      <c r="B122" s="15" t="s">
        <v>13</v>
      </c>
      <c r="C122" s="14" t="s">
        <v>11</v>
      </c>
      <c r="D122" s="16">
        <v>69.89</v>
      </c>
      <c r="E122" s="16">
        <f t="shared" si="2"/>
        <v>41.934</v>
      </c>
      <c r="F122" s="14"/>
      <c r="G122" s="14"/>
      <c r="H122" s="16">
        <f t="shared" si="3"/>
        <v>41.934</v>
      </c>
      <c r="I122" s="14">
        <v>100</v>
      </c>
    </row>
    <row r="123" ht="24" customHeight="1" spans="1:9">
      <c r="A123" s="14" t="str">
        <f>"15102010530"</f>
        <v>15102010530</v>
      </c>
      <c r="B123" s="15" t="s">
        <v>13</v>
      </c>
      <c r="C123" s="14" t="s">
        <v>11</v>
      </c>
      <c r="D123" s="16">
        <v>69.85</v>
      </c>
      <c r="E123" s="16">
        <f t="shared" si="2"/>
        <v>41.91</v>
      </c>
      <c r="F123" s="14"/>
      <c r="G123" s="14"/>
      <c r="H123" s="16">
        <f t="shared" si="3"/>
        <v>41.91</v>
      </c>
      <c r="I123" s="14">
        <v>101</v>
      </c>
    </row>
    <row r="124" ht="24" customHeight="1" spans="1:9">
      <c r="A124" s="14" t="str">
        <f>"15102010223"</f>
        <v>15102010223</v>
      </c>
      <c r="B124" s="15" t="s">
        <v>13</v>
      </c>
      <c r="C124" s="14" t="s">
        <v>11</v>
      </c>
      <c r="D124" s="16">
        <v>69.6</v>
      </c>
      <c r="E124" s="16">
        <f t="shared" si="2"/>
        <v>41.76</v>
      </c>
      <c r="F124" s="14"/>
      <c r="G124" s="14"/>
      <c r="H124" s="16">
        <f t="shared" si="3"/>
        <v>41.76</v>
      </c>
      <c r="I124" s="14">
        <v>102</v>
      </c>
    </row>
    <row r="125" ht="24" customHeight="1" spans="1:9">
      <c r="A125" s="14" t="str">
        <f>"15102010410"</f>
        <v>15102010410</v>
      </c>
      <c r="B125" s="15" t="s">
        <v>13</v>
      </c>
      <c r="C125" s="14" t="s">
        <v>11</v>
      </c>
      <c r="D125" s="16">
        <v>69.51</v>
      </c>
      <c r="E125" s="16">
        <f t="shared" si="2"/>
        <v>41.706</v>
      </c>
      <c r="F125" s="14"/>
      <c r="G125" s="14"/>
      <c r="H125" s="16">
        <f t="shared" si="3"/>
        <v>41.706</v>
      </c>
      <c r="I125" s="14">
        <v>103</v>
      </c>
    </row>
    <row r="126" ht="24" customHeight="1" spans="1:9">
      <c r="A126" s="14" t="str">
        <f>"15102010527"</f>
        <v>15102010527</v>
      </c>
      <c r="B126" s="15" t="s">
        <v>13</v>
      </c>
      <c r="C126" s="14" t="s">
        <v>11</v>
      </c>
      <c r="D126" s="16">
        <v>69.42</v>
      </c>
      <c r="E126" s="16">
        <f t="shared" si="2"/>
        <v>41.652</v>
      </c>
      <c r="F126" s="14"/>
      <c r="G126" s="14"/>
      <c r="H126" s="16">
        <f t="shared" si="3"/>
        <v>41.652</v>
      </c>
      <c r="I126" s="14">
        <v>104</v>
      </c>
    </row>
    <row r="127" ht="24" customHeight="1" spans="1:9">
      <c r="A127" s="14" t="str">
        <f>"15102010728"</f>
        <v>15102010728</v>
      </c>
      <c r="B127" s="15" t="s">
        <v>13</v>
      </c>
      <c r="C127" s="14" t="s">
        <v>11</v>
      </c>
      <c r="D127" s="16">
        <v>69.32</v>
      </c>
      <c r="E127" s="16">
        <f t="shared" si="2"/>
        <v>41.592</v>
      </c>
      <c r="F127" s="14"/>
      <c r="G127" s="14"/>
      <c r="H127" s="16">
        <f t="shared" si="3"/>
        <v>41.592</v>
      </c>
      <c r="I127" s="14">
        <v>105</v>
      </c>
    </row>
    <row r="128" ht="24" customHeight="1" spans="1:9">
      <c r="A128" s="14" t="str">
        <f>"15102010408"</f>
        <v>15102010408</v>
      </c>
      <c r="B128" s="15" t="s">
        <v>13</v>
      </c>
      <c r="C128" s="14" t="s">
        <v>11</v>
      </c>
      <c r="D128" s="16">
        <v>69.05</v>
      </c>
      <c r="E128" s="16">
        <f t="shared" si="2"/>
        <v>41.43</v>
      </c>
      <c r="F128" s="14"/>
      <c r="G128" s="14"/>
      <c r="H128" s="16">
        <f t="shared" si="3"/>
        <v>41.43</v>
      </c>
      <c r="I128" s="14">
        <v>106</v>
      </c>
    </row>
    <row r="129" ht="24" customHeight="1" spans="1:9">
      <c r="A129" s="14" t="str">
        <f>"15102010329"</f>
        <v>15102010329</v>
      </c>
      <c r="B129" s="15" t="s">
        <v>13</v>
      </c>
      <c r="C129" s="14" t="s">
        <v>11</v>
      </c>
      <c r="D129" s="16">
        <v>68.86</v>
      </c>
      <c r="E129" s="16">
        <f t="shared" si="2"/>
        <v>41.316</v>
      </c>
      <c r="F129" s="14"/>
      <c r="G129" s="14"/>
      <c r="H129" s="16">
        <f t="shared" si="3"/>
        <v>41.316</v>
      </c>
      <c r="I129" s="14">
        <v>107</v>
      </c>
    </row>
    <row r="130" ht="24" customHeight="1" spans="1:9">
      <c r="A130" s="14" t="str">
        <f>"15102010625"</f>
        <v>15102010625</v>
      </c>
      <c r="B130" s="15" t="s">
        <v>13</v>
      </c>
      <c r="C130" s="14" t="s">
        <v>11</v>
      </c>
      <c r="D130" s="16">
        <v>68.64</v>
      </c>
      <c r="E130" s="16">
        <f t="shared" si="2"/>
        <v>41.184</v>
      </c>
      <c r="F130" s="14"/>
      <c r="G130" s="14"/>
      <c r="H130" s="16">
        <f t="shared" si="3"/>
        <v>41.184</v>
      </c>
      <c r="I130" s="14">
        <v>108</v>
      </c>
    </row>
    <row r="131" ht="24" customHeight="1" spans="1:9">
      <c r="A131" s="14" t="str">
        <f>"15102010414"</f>
        <v>15102010414</v>
      </c>
      <c r="B131" s="15" t="s">
        <v>13</v>
      </c>
      <c r="C131" s="14" t="s">
        <v>11</v>
      </c>
      <c r="D131" s="16">
        <v>68.59</v>
      </c>
      <c r="E131" s="16">
        <f t="shared" ref="E131:E194" si="4">D131*0.6</f>
        <v>41.154</v>
      </c>
      <c r="F131" s="14"/>
      <c r="G131" s="14"/>
      <c r="H131" s="16">
        <f t="shared" ref="H131:H194" si="5">SUM(E131:G131)</f>
        <v>41.154</v>
      </c>
      <c r="I131" s="14">
        <v>109</v>
      </c>
    </row>
    <row r="132" ht="24" customHeight="1" spans="1:9">
      <c r="A132" s="14" t="str">
        <f>"15102010604"</f>
        <v>15102010604</v>
      </c>
      <c r="B132" s="15" t="s">
        <v>13</v>
      </c>
      <c r="C132" s="14" t="s">
        <v>11</v>
      </c>
      <c r="D132" s="16">
        <v>68.47</v>
      </c>
      <c r="E132" s="16">
        <f t="shared" si="4"/>
        <v>41.082</v>
      </c>
      <c r="F132" s="14"/>
      <c r="G132" s="14"/>
      <c r="H132" s="16">
        <f t="shared" si="5"/>
        <v>41.082</v>
      </c>
      <c r="I132" s="14">
        <v>110</v>
      </c>
    </row>
    <row r="133" ht="24" customHeight="1" spans="1:9">
      <c r="A133" s="14" t="str">
        <f>"15102010701"</f>
        <v>15102010701</v>
      </c>
      <c r="B133" s="15" t="s">
        <v>13</v>
      </c>
      <c r="C133" s="14" t="s">
        <v>11</v>
      </c>
      <c r="D133" s="16">
        <v>68.35</v>
      </c>
      <c r="E133" s="16">
        <f t="shared" si="4"/>
        <v>41.01</v>
      </c>
      <c r="F133" s="14"/>
      <c r="G133" s="14"/>
      <c r="H133" s="16">
        <f t="shared" si="5"/>
        <v>41.01</v>
      </c>
      <c r="I133" s="14">
        <v>111</v>
      </c>
    </row>
    <row r="134" ht="24" customHeight="1" spans="1:9">
      <c r="A134" s="14" t="str">
        <f>"15102010704"</f>
        <v>15102010704</v>
      </c>
      <c r="B134" s="15" t="s">
        <v>13</v>
      </c>
      <c r="C134" s="14" t="s">
        <v>11</v>
      </c>
      <c r="D134" s="16">
        <v>68.31</v>
      </c>
      <c r="E134" s="16">
        <f t="shared" si="4"/>
        <v>40.986</v>
      </c>
      <c r="F134" s="14"/>
      <c r="G134" s="14"/>
      <c r="H134" s="16">
        <f t="shared" si="5"/>
        <v>40.986</v>
      </c>
      <c r="I134" s="14">
        <v>112</v>
      </c>
    </row>
    <row r="135" ht="24" customHeight="1" spans="1:9">
      <c r="A135" s="14" t="str">
        <f>"15102010720"</f>
        <v>15102010720</v>
      </c>
      <c r="B135" s="15" t="s">
        <v>13</v>
      </c>
      <c r="C135" s="14" t="s">
        <v>11</v>
      </c>
      <c r="D135" s="16">
        <v>68.1</v>
      </c>
      <c r="E135" s="16">
        <f t="shared" si="4"/>
        <v>40.86</v>
      </c>
      <c r="F135" s="14"/>
      <c r="G135" s="14"/>
      <c r="H135" s="16">
        <f t="shared" si="5"/>
        <v>40.86</v>
      </c>
      <c r="I135" s="14">
        <v>113</v>
      </c>
    </row>
    <row r="136" ht="24" customHeight="1" spans="1:9">
      <c r="A136" s="14" t="str">
        <f>"15102010227"</f>
        <v>15102010227</v>
      </c>
      <c r="B136" s="15" t="s">
        <v>13</v>
      </c>
      <c r="C136" s="14" t="s">
        <v>11</v>
      </c>
      <c r="D136" s="16">
        <v>67.82</v>
      </c>
      <c r="E136" s="16">
        <f t="shared" si="4"/>
        <v>40.692</v>
      </c>
      <c r="F136" s="14"/>
      <c r="G136" s="14"/>
      <c r="H136" s="16">
        <f t="shared" si="5"/>
        <v>40.692</v>
      </c>
      <c r="I136" s="14">
        <v>114</v>
      </c>
    </row>
    <row r="137" ht="24" customHeight="1" spans="1:9">
      <c r="A137" s="14" t="str">
        <f>"15102010319"</f>
        <v>15102010319</v>
      </c>
      <c r="B137" s="15" t="s">
        <v>13</v>
      </c>
      <c r="C137" s="14" t="s">
        <v>11</v>
      </c>
      <c r="D137" s="16">
        <v>67.76</v>
      </c>
      <c r="E137" s="16">
        <f t="shared" si="4"/>
        <v>40.656</v>
      </c>
      <c r="F137" s="14"/>
      <c r="G137" s="14"/>
      <c r="H137" s="16">
        <f t="shared" si="5"/>
        <v>40.656</v>
      </c>
      <c r="I137" s="14">
        <v>115</v>
      </c>
    </row>
    <row r="138" ht="24" customHeight="1" spans="1:9">
      <c r="A138" s="14" t="str">
        <f>"15102010618"</f>
        <v>15102010618</v>
      </c>
      <c r="B138" s="15" t="s">
        <v>13</v>
      </c>
      <c r="C138" s="14" t="s">
        <v>11</v>
      </c>
      <c r="D138" s="16">
        <v>67.68</v>
      </c>
      <c r="E138" s="16">
        <f t="shared" si="4"/>
        <v>40.608</v>
      </c>
      <c r="F138" s="14"/>
      <c r="G138" s="14"/>
      <c r="H138" s="16">
        <f t="shared" si="5"/>
        <v>40.608</v>
      </c>
      <c r="I138" s="14">
        <v>116</v>
      </c>
    </row>
    <row r="139" ht="24" customHeight="1" spans="1:9">
      <c r="A139" s="14" t="str">
        <f>"15102010526"</f>
        <v>15102010526</v>
      </c>
      <c r="B139" s="15" t="s">
        <v>13</v>
      </c>
      <c r="C139" s="14" t="s">
        <v>11</v>
      </c>
      <c r="D139" s="16">
        <v>67.44</v>
      </c>
      <c r="E139" s="16">
        <f t="shared" si="4"/>
        <v>40.464</v>
      </c>
      <c r="F139" s="14"/>
      <c r="G139" s="14"/>
      <c r="H139" s="16">
        <f t="shared" si="5"/>
        <v>40.464</v>
      </c>
      <c r="I139" s="14">
        <v>117</v>
      </c>
    </row>
    <row r="140" ht="24" customHeight="1" spans="1:9">
      <c r="A140" s="14" t="str">
        <f>"15102010626"</f>
        <v>15102010626</v>
      </c>
      <c r="B140" s="15" t="s">
        <v>13</v>
      </c>
      <c r="C140" s="14" t="s">
        <v>11</v>
      </c>
      <c r="D140" s="16">
        <v>67.44</v>
      </c>
      <c r="E140" s="16">
        <f t="shared" si="4"/>
        <v>40.464</v>
      </c>
      <c r="F140" s="14"/>
      <c r="G140" s="14"/>
      <c r="H140" s="16">
        <f t="shared" si="5"/>
        <v>40.464</v>
      </c>
      <c r="I140" s="14">
        <v>118</v>
      </c>
    </row>
    <row r="141" ht="24" customHeight="1" spans="1:9">
      <c r="A141" s="14" t="str">
        <f>"15102010403"</f>
        <v>15102010403</v>
      </c>
      <c r="B141" s="15" t="s">
        <v>13</v>
      </c>
      <c r="C141" s="14" t="s">
        <v>11</v>
      </c>
      <c r="D141" s="16">
        <v>67.33</v>
      </c>
      <c r="E141" s="16">
        <f t="shared" si="4"/>
        <v>40.398</v>
      </c>
      <c r="F141" s="14"/>
      <c r="G141" s="14"/>
      <c r="H141" s="16">
        <f t="shared" si="5"/>
        <v>40.398</v>
      </c>
      <c r="I141" s="14">
        <v>119</v>
      </c>
    </row>
    <row r="142" ht="24" customHeight="1" spans="1:9">
      <c r="A142" s="14" t="str">
        <f>"15102010518"</f>
        <v>15102010518</v>
      </c>
      <c r="B142" s="15" t="s">
        <v>13</v>
      </c>
      <c r="C142" s="14" t="s">
        <v>11</v>
      </c>
      <c r="D142" s="16">
        <v>66.8</v>
      </c>
      <c r="E142" s="16">
        <f t="shared" si="4"/>
        <v>40.08</v>
      </c>
      <c r="F142" s="14"/>
      <c r="G142" s="14"/>
      <c r="H142" s="16">
        <f t="shared" si="5"/>
        <v>40.08</v>
      </c>
      <c r="I142" s="14">
        <v>120</v>
      </c>
    </row>
    <row r="143" ht="24" customHeight="1" spans="1:9">
      <c r="A143" s="14" t="str">
        <f>"15102010307"</f>
        <v>15102010307</v>
      </c>
      <c r="B143" s="15" t="s">
        <v>13</v>
      </c>
      <c r="C143" s="14" t="s">
        <v>11</v>
      </c>
      <c r="D143" s="16">
        <v>66.45</v>
      </c>
      <c r="E143" s="16">
        <f t="shared" si="4"/>
        <v>39.87</v>
      </c>
      <c r="F143" s="14"/>
      <c r="G143" s="14"/>
      <c r="H143" s="16">
        <f t="shared" si="5"/>
        <v>39.87</v>
      </c>
      <c r="I143" s="14">
        <v>121</v>
      </c>
    </row>
    <row r="144" ht="24" customHeight="1" spans="1:9">
      <c r="A144" s="14" t="str">
        <f>"15102010721"</f>
        <v>15102010721</v>
      </c>
      <c r="B144" s="15" t="s">
        <v>13</v>
      </c>
      <c r="C144" s="14" t="s">
        <v>11</v>
      </c>
      <c r="D144" s="16">
        <v>66.44</v>
      </c>
      <c r="E144" s="16">
        <f t="shared" si="4"/>
        <v>39.864</v>
      </c>
      <c r="F144" s="14"/>
      <c r="G144" s="14"/>
      <c r="H144" s="16">
        <f t="shared" si="5"/>
        <v>39.864</v>
      </c>
      <c r="I144" s="14">
        <v>122</v>
      </c>
    </row>
    <row r="145" ht="24" customHeight="1" spans="1:9">
      <c r="A145" s="14" t="str">
        <f>"15102010305"</f>
        <v>15102010305</v>
      </c>
      <c r="B145" s="15" t="s">
        <v>13</v>
      </c>
      <c r="C145" s="14" t="s">
        <v>11</v>
      </c>
      <c r="D145" s="16">
        <v>66.35</v>
      </c>
      <c r="E145" s="16">
        <f t="shared" si="4"/>
        <v>39.81</v>
      </c>
      <c r="F145" s="14"/>
      <c r="G145" s="14"/>
      <c r="H145" s="16">
        <f t="shared" si="5"/>
        <v>39.81</v>
      </c>
      <c r="I145" s="14">
        <v>123</v>
      </c>
    </row>
    <row r="146" ht="24" customHeight="1" spans="1:9">
      <c r="A146" s="14" t="str">
        <f>"15102010416"</f>
        <v>15102010416</v>
      </c>
      <c r="B146" s="15" t="s">
        <v>13</v>
      </c>
      <c r="C146" s="14" t="s">
        <v>11</v>
      </c>
      <c r="D146" s="16">
        <v>66.27</v>
      </c>
      <c r="E146" s="16">
        <f t="shared" si="4"/>
        <v>39.762</v>
      </c>
      <c r="F146" s="14"/>
      <c r="G146" s="14"/>
      <c r="H146" s="16">
        <f t="shared" si="5"/>
        <v>39.762</v>
      </c>
      <c r="I146" s="14">
        <v>124</v>
      </c>
    </row>
    <row r="147" ht="24" customHeight="1" spans="1:9">
      <c r="A147" s="14" t="str">
        <f>"15102010610"</f>
        <v>15102010610</v>
      </c>
      <c r="B147" s="15" t="s">
        <v>13</v>
      </c>
      <c r="C147" s="14" t="s">
        <v>11</v>
      </c>
      <c r="D147" s="16">
        <v>66.26</v>
      </c>
      <c r="E147" s="16">
        <f t="shared" si="4"/>
        <v>39.756</v>
      </c>
      <c r="F147" s="14"/>
      <c r="G147" s="14"/>
      <c r="H147" s="16">
        <f t="shared" si="5"/>
        <v>39.756</v>
      </c>
      <c r="I147" s="14">
        <v>125</v>
      </c>
    </row>
    <row r="148" ht="24" customHeight="1" spans="1:9">
      <c r="A148" s="14" t="str">
        <f>"15102010328"</f>
        <v>15102010328</v>
      </c>
      <c r="B148" s="15" t="s">
        <v>13</v>
      </c>
      <c r="C148" s="14" t="s">
        <v>12</v>
      </c>
      <c r="D148" s="16">
        <v>62.07</v>
      </c>
      <c r="E148" s="16">
        <f t="shared" si="4"/>
        <v>37.242</v>
      </c>
      <c r="F148" s="14">
        <v>2.5</v>
      </c>
      <c r="G148" s="14"/>
      <c r="H148" s="16">
        <f t="shared" si="5"/>
        <v>39.742</v>
      </c>
      <c r="I148" s="14">
        <v>126</v>
      </c>
    </row>
    <row r="149" ht="24" customHeight="1" spans="1:9">
      <c r="A149" s="14" t="str">
        <f>"15102010129"</f>
        <v>15102010129</v>
      </c>
      <c r="B149" s="15" t="s">
        <v>13</v>
      </c>
      <c r="C149" s="14" t="s">
        <v>11</v>
      </c>
      <c r="D149" s="16">
        <v>66.2</v>
      </c>
      <c r="E149" s="16">
        <f t="shared" si="4"/>
        <v>39.72</v>
      </c>
      <c r="F149" s="14"/>
      <c r="G149" s="14"/>
      <c r="H149" s="16">
        <f t="shared" si="5"/>
        <v>39.72</v>
      </c>
      <c r="I149" s="14">
        <v>127</v>
      </c>
    </row>
    <row r="150" ht="24" customHeight="1" spans="1:9">
      <c r="A150" s="14" t="str">
        <f>"15102010214"</f>
        <v>15102010214</v>
      </c>
      <c r="B150" s="15" t="s">
        <v>13</v>
      </c>
      <c r="C150" s="14" t="s">
        <v>11</v>
      </c>
      <c r="D150" s="16">
        <v>66.12</v>
      </c>
      <c r="E150" s="16">
        <f t="shared" si="4"/>
        <v>39.672</v>
      </c>
      <c r="F150" s="14"/>
      <c r="G150" s="14"/>
      <c r="H150" s="16">
        <f t="shared" si="5"/>
        <v>39.672</v>
      </c>
      <c r="I150" s="14">
        <v>128</v>
      </c>
    </row>
    <row r="151" ht="24" customHeight="1" spans="1:9">
      <c r="A151" s="14" t="str">
        <f>"15102010126"</f>
        <v>15102010126</v>
      </c>
      <c r="B151" s="15" t="s">
        <v>13</v>
      </c>
      <c r="C151" s="14" t="s">
        <v>12</v>
      </c>
      <c r="D151" s="16">
        <v>61.75</v>
      </c>
      <c r="E151" s="16">
        <f t="shared" si="4"/>
        <v>37.05</v>
      </c>
      <c r="F151" s="14">
        <v>2.5</v>
      </c>
      <c r="G151" s="14"/>
      <c r="H151" s="16">
        <f t="shared" si="5"/>
        <v>39.55</v>
      </c>
      <c r="I151" s="14">
        <v>129</v>
      </c>
    </row>
    <row r="152" ht="24" customHeight="1" spans="1:9">
      <c r="A152" s="14" t="str">
        <f>"15102010711"</f>
        <v>15102010711</v>
      </c>
      <c r="B152" s="15" t="s">
        <v>13</v>
      </c>
      <c r="C152" s="14" t="s">
        <v>11</v>
      </c>
      <c r="D152" s="16">
        <v>65.87</v>
      </c>
      <c r="E152" s="16">
        <f t="shared" si="4"/>
        <v>39.522</v>
      </c>
      <c r="F152" s="14"/>
      <c r="G152" s="14"/>
      <c r="H152" s="16">
        <f t="shared" si="5"/>
        <v>39.522</v>
      </c>
      <c r="I152" s="14">
        <v>130</v>
      </c>
    </row>
    <row r="153" ht="24" customHeight="1" spans="1:9">
      <c r="A153" s="14" t="str">
        <f>"15102010406"</f>
        <v>15102010406</v>
      </c>
      <c r="B153" s="15" t="s">
        <v>13</v>
      </c>
      <c r="C153" s="14" t="s">
        <v>11</v>
      </c>
      <c r="D153" s="16">
        <v>65.81</v>
      </c>
      <c r="E153" s="16">
        <f t="shared" si="4"/>
        <v>39.486</v>
      </c>
      <c r="F153" s="14"/>
      <c r="G153" s="14"/>
      <c r="H153" s="16">
        <f t="shared" si="5"/>
        <v>39.486</v>
      </c>
      <c r="I153" s="14">
        <v>131</v>
      </c>
    </row>
    <row r="154" ht="24" customHeight="1" spans="1:9">
      <c r="A154" s="14" t="str">
        <f>"15102010615"</f>
        <v>15102010615</v>
      </c>
      <c r="B154" s="15" t="s">
        <v>13</v>
      </c>
      <c r="C154" s="14" t="s">
        <v>11</v>
      </c>
      <c r="D154" s="16">
        <v>65.72</v>
      </c>
      <c r="E154" s="16">
        <f t="shared" si="4"/>
        <v>39.432</v>
      </c>
      <c r="F154" s="14"/>
      <c r="G154" s="14"/>
      <c r="H154" s="16">
        <f t="shared" si="5"/>
        <v>39.432</v>
      </c>
      <c r="I154" s="14">
        <v>132</v>
      </c>
    </row>
    <row r="155" ht="24" customHeight="1" spans="1:9">
      <c r="A155" s="14" t="str">
        <f>"15102010502"</f>
        <v>15102010502</v>
      </c>
      <c r="B155" s="15" t="s">
        <v>13</v>
      </c>
      <c r="C155" s="14" t="s">
        <v>11</v>
      </c>
      <c r="D155" s="16">
        <v>65.48</v>
      </c>
      <c r="E155" s="16">
        <f t="shared" si="4"/>
        <v>39.288</v>
      </c>
      <c r="F155" s="14"/>
      <c r="G155" s="14"/>
      <c r="H155" s="16">
        <f t="shared" si="5"/>
        <v>39.288</v>
      </c>
      <c r="I155" s="14">
        <v>133</v>
      </c>
    </row>
    <row r="156" ht="24" customHeight="1" spans="1:9">
      <c r="A156" s="14" t="str">
        <f>"15102010417"</f>
        <v>15102010417</v>
      </c>
      <c r="B156" s="15" t="s">
        <v>13</v>
      </c>
      <c r="C156" s="14" t="s">
        <v>11</v>
      </c>
      <c r="D156" s="16">
        <v>65.21</v>
      </c>
      <c r="E156" s="16">
        <f t="shared" si="4"/>
        <v>39.126</v>
      </c>
      <c r="F156" s="14"/>
      <c r="G156" s="14"/>
      <c r="H156" s="16">
        <f t="shared" si="5"/>
        <v>39.126</v>
      </c>
      <c r="I156" s="14">
        <v>134</v>
      </c>
    </row>
    <row r="157" ht="24" customHeight="1" spans="1:9">
      <c r="A157" s="14" t="str">
        <f>"15102010504"</f>
        <v>15102010504</v>
      </c>
      <c r="B157" s="15" t="s">
        <v>13</v>
      </c>
      <c r="C157" s="14" t="s">
        <v>11</v>
      </c>
      <c r="D157" s="16">
        <v>64.88</v>
      </c>
      <c r="E157" s="16">
        <f t="shared" si="4"/>
        <v>38.928</v>
      </c>
      <c r="F157" s="14"/>
      <c r="G157" s="14"/>
      <c r="H157" s="16">
        <f t="shared" si="5"/>
        <v>38.928</v>
      </c>
      <c r="I157" s="14">
        <v>135</v>
      </c>
    </row>
    <row r="158" ht="24" customHeight="1" spans="1:9">
      <c r="A158" s="14" t="str">
        <f>"15102010412"</f>
        <v>15102010412</v>
      </c>
      <c r="B158" s="15" t="s">
        <v>13</v>
      </c>
      <c r="C158" s="14" t="s">
        <v>11</v>
      </c>
      <c r="D158" s="16">
        <v>64.18</v>
      </c>
      <c r="E158" s="16">
        <f t="shared" si="4"/>
        <v>38.508</v>
      </c>
      <c r="F158" s="14"/>
      <c r="G158" s="14"/>
      <c r="H158" s="16">
        <f t="shared" si="5"/>
        <v>38.508</v>
      </c>
      <c r="I158" s="14">
        <v>136</v>
      </c>
    </row>
    <row r="159" ht="24" customHeight="1" spans="1:9">
      <c r="A159" s="14" t="str">
        <f>"15102010321"</f>
        <v>15102010321</v>
      </c>
      <c r="B159" s="15" t="s">
        <v>13</v>
      </c>
      <c r="C159" s="14" t="s">
        <v>11</v>
      </c>
      <c r="D159" s="16">
        <v>63.95</v>
      </c>
      <c r="E159" s="16">
        <f t="shared" si="4"/>
        <v>38.37</v>
      </c>
      <c r="F159" s="14"/>
      <c r="G159" s="14"/>
      <c r="H159" s="16">
        <f t="shared" si="5"/>
        <v>38.37</v>
      </c>
      <c r="I159" s="14">
        <v>137</v>
      </c>
    </row>
    <row r="160" ht="24" customHeight="1" spans="1:9">
      <c r="A160" s="14" t="str">
        <f>"15102010326"</f>
        <v>15102010326</v>
      </c>
      <c r="B160" s="15" t="s">
        <v>13</v>
      </c>
      <c r="C160" s="14" t="s">
        <v>11</v>
      </c>
      <c r="D160" s="16">
        <v>63.86</v>
      </c>
      <c r="E160" s="16">
        <f t="shared" si="4"/>
        <v>38.316</v>
      </c>
      <c r="F160" s="14"/>
      <c r="G160" s="14"/>
      <c r="H160" s="16">
        <f t="shared" si="5"/>
        <v>38.316</v>
      </c>
      <c r="I160" s="14">
        <v>138</v>
      </c>
    </row>
    <row r="161" ht="24" customHeight="1" spans="1:9">
      <c r="A161" s="14" t="str">
        <f>"15102010401"</f>
        <v>15102010401</v>
      </c>
      <c r="B161" s="15" t="s">
        <v>13</v>
      </c>
      <c r="C161" s="14" t="s">
        <v>11</v>
      </c>
      <c r="D161" s="16">
        <v>63.69</v>
      </c>
      <c r="E161" s="16">
        <f t="shared" si="4"/>
        <v>38.214</v>
      </c>
      <c r="F161" s="14"/>
      <c r="G161" s="14"/>
      <c r="H161" s="16">
        <f t="shared" si="5"/>
        <v>38.214</v>
      </c>
      <c r="I161" s="14">
        <v>139</v>
      </c>
    </row>
    <row r="162" ht="24" customHeight="1" spans="1:9">
      <c r="A162" s="14" t="str">
        <f>"15102010605"</f>
        <v>15102010605</v>
      </c>
      <c r="B162" s="15" t="s">
        <v>13</v>
      </c>
      <c r="C162" s="14" t="s">
        <v>11</v>
      </c>
      <c r="D162" s="16">
        <v>63.31</v>
      </c>
      <c r="E162" s="16">
        <f t="shared" si="4"/>
        <v>37.986</v>
      </c>
      <c r="F162" s="14"/>
      <c r="G162" s="14"/>
      <c r="H162" s="16">
        <f t="shared" si="5"/>
        <v>37.986</v>
      </c>
      <c r="I162" s="14">
        <v>140</v>
      </c>
    </row>
    <row r="163" ht="24" customHeight="1" spans="1:9">
      <c r="A163" s="14" t="str">
        <f>"15102010317"</f>
        <v>15102010317</v>
      </c>
      <c r="B163" s="15" t="s">
        <v>13</v>
      </c>
      <c r="C163" s="14" t="s">
        <v>11</v>
      </c>
      <c r="D163" s="16">
        <v>63.28</v>
      </c>
      <c r="E163" s="16">
        <f t="shared" si="4"/>
        <v>37.968</v>
      </c>
      <c r="F163" s="14"/>
      <c r="G163" s="14"/>
      <c r="H163" s="16">
        <f t="shared" si="5"/>
        <v>37.968</v>
      </c>
      <c r="I163" s="14">
        <v>141</v>
      </c>
    </row>
    <row r="164" ht="24" customHeight="1" spans="1:9">
      <c r="A164" s="14" t="str">
        <f>"15102010422"</f>
        <v>15102010422</v>
      </c>
      <c r="B164" s="15" t="s">
        <v>13</v>
      </c>
      <c r="C164" s="14" t="s">
        <v>11</v>
      </c>
      <c r="D164" s="16">
        <v>62.89</v>
      </c>
      <c r="E164" s="16">
        <f t="shared" si="4"/>
        <v>37.734</v>
      </c>
      <c r="F164" s="14"/>
      <c r="G164" s="14"/>
      <c r="H164" s="16">
        <f t="shared" si="5"/>
        <v>37.734</v>
      </c>
      <c r="I164" s="14">
        <v>142</v>
      </c>
    </row>
    <row r="165" ht="24" customHeight="1" spans="1:9">
      <c r="A165" s="14" t="str">
        <f>"15102010524"</f>
        <v>15102010524</v>
      </c>
      <c r="B165" s="15" t="s">
        <v>13</v>
      </c>
      <c r="C165" s="14" t="s">
        <v>11</v>
      </c>
      <c r="D165" s="16">
        <v>62.7</v>
      </c>
      <c r="E165" s="16">
        <f t="shared" si="4"/>
        <v>37.62</v>
      </c>
      <c r="F165" s="14"/>
      <c r="G165" s="14"/>
      <c r="H165" s="16">
        <f t="shared" si="5"/>
        <v>37.62</v>
      </c>
      <c r="I165" s="14">
        <v>143</v>
      </c>
    </row>
    <row r="166" ht="24" customHeight="1" spans="1:9">
      <c r="A166" s="14" t="str">
        <f>"15102010413"</f>
        <v>15102010413</v>
      </c>
      <c r="B166" s="15" t="s">
        <v>13</v>
      </c>
      <c r="C166" s="14" t="s">
        <v>11</v>
      </c>
      <c r="D166" s="16">
        <v>62.69</v>
      </c>
      <c r="E166" s="16">
        <f t="shared" si="4"/>
        <v>37.614</v>
      </c>
      <c r="F166" s="14"/>
      <c r="G166" s="14"/>
      <c r="H166" s="16">
        <f t="shared" si="5"/>
        <v>37.614</v>
      </c>
      <c r="I166" s="14">
        <v>144</v>
      </c>
    </row>
    <row r="167" ht="24" customHeight="1" spans="1:9">
      <c r="A167" s="14" t="str">
        <f>"15102010722"</f>
        <v>15102010722</v>
      </c>
      <c r="B167" s="15" t="s">
        <v>13</v>
      </c>
      <c r="C167" s="14" t="s">
        <v>12</v>
      </c>
      <c r="D167" s="16">
        <v>58.47</v>
      </c>
      <c r="E167" s="16">
        <f t="shared" si="4"/>
        <v>35.082</v>
      </c>
      <c r="F167" s="14">
        <v>2.5</v>
      </c>
      <c r="G167" s="14"/>
      <c r="H167" s="16">
        <f t="shared" si="5"/>
        <v>37.582</v>
      </c>
      <c r="I167" s="14">
        <v>145</v>
      </c>
    </row>
    <row r="168" ht="24" customHeight="1" spans="1:9">
      <c r="A168" s="14" t="str">
        <f>"15102010228"</f>
        <v>15102010228</v>
      </c>
      <c r="B168" s="15" t="s">
        <v>13</v>
      </c>
      <c r="C168" s="14" t="s">
        <v>12</v>
      </c>
      <c r="D168" s="16">
        <v>57.58</v>
      </c>
      <c r="E168" s="16">
        <f t="shared" si="4"/>
        <v>34.548</v>
      </c>
      <c r="F168" s="14">
        <v>2.5</v>
      </c>
      <c r="G168" s="14"/>
      <c r="H168" s="16">
        <f t="shared" si="5"/>
        <v>37.048</v>
      </c>
      <c r="I168" s="14">
        <v>146</v>
      </c>
    </row>
    <row r="169" ht="24" customHeight="1" spans="1:9">
      <c r="A169" s="14" t="str">
        <f>"15102010726"</f>
        <v>15102010726</v>
      </c>
      <c r="B169" s="15" t="s">
        <v>13</v>
      </c>
      <c r="C169" s="14" t="s">
        <v>11</v>
      </c>
      <c r="D169" s="16">
        <v>61.34</v>
      </c>
      <c r="E169" s="16">
        <f t="shared" si="4"/>
        <v>36.804</v>
      </c>
      <c r="F169" s="14"/>
      <c r="G169" s="14"/>
      <c r="H169" s="16">
        <f t="shared" si="5"/>
        <v>36.804</v>
      </c>
      <c r="I169" s="14">
        <v>147</v>
      </c>
    </row>
    <row r="170" ht="24" customHeight="1" spans="1:9">
      <c r="A170" s="14" t="str">
        <f>"15102010709"</f>
        <v>15102010709</v>
      </c>
      <c r="B170" s="15" t="s">
        <v>13</v>
      </c>
      <c r="C170" s="14" t="s">
        <v>11</v>
      </c>
      <c r="D170" s="16">
        <v>60.87</v>
      </c>
      <c r="E170" s="16">
        <f t="shared" si="4"/>
        <v>36.522</v>
      </c>
      <c r="F170" s="14"/>
      <c r="G170" s="14"/>
      <c r="H170" s="16">
        <f t="shared" si="5"/>
        <v>36.522</v>
      </c>
      <c r="I170" s="14">
        <v>148</v>
      </c>
    </row>
    <row r="171" ht="24" customHeight="1" spans="1:9">
      <c r="A171" s="14" t="str">
        <f>"15102010716"</f>
        <v>15102010716</v>
      </c>
      <c r="B171" s="15" t="s">
        <v>13</v>
      </c>
      <c r="C171" s="14" t="s">
        <v>12</v>
      </c>
      <c r="D171" s="16">
        <v>56.6</v>
      </c>
      <c r="E171" s="16">
        <f t="shared" si="4"/>
        <v>33.96</v>
      </c>
      <c r="F171" s="14">
        <v>2.5</v>
      </c>
      <c r="G171" s="14"/>
      <c r="H171" s="16">
        <f t="shared" si="5"/>
        <v>36.46</v>
      </c>
      <c r="I171" s="14">
        <v>149</v>
      </c>
    </row>
    <row r="172" ht="24" customHeight="1" spans="1:9">
      <c r="A172" s="14" t="str">
        <f>"15102010624"</f>
        <v>15102010624</v>
      </c>
      <c r="B172" s="15" t="s">
        <v>13</v>
      </c>
      <c r="C172" s="14" t="s">
        <v>12</v>
      </c>
      <c r="D172" s="16">
        <v>56.35</v>
      </c>
      <c r="E172" s="16">
        <f t="shared" si="4"/>
        <v>33.81</v>
      </c>
      <c r="F172" s="14">
        <v>2.5</v>
      </c>
      <c r="G172" s="14"/>
      <c r="H172" s="16">
        <f t="shared" si="5"/>
        <v>36.31</v>
      </c>
      <c r="I172" s="14">
        <v>150</v>
      </c>
    </row>
    <row r="173" ht="24" customHeight="1" spans="1:9">
      <c r="A173" s="14" t="str">
        <f>"15102010125"</f>
        <v>15102010125</v>
      </c>
      <c r="B173" s="15" t="s">
        <v>13</v>
      </c>
      <c r="C173" s="14" t="s">
        <v>11</v>
      </c>
      <c r="D173" s="16">
        <v>60.29</v>
      </c>
      <c r="E173" s="16">
        <f t="shared" si="4"/>
        <v>36.174</v>
      </c>
      <c r="F173" s="14"/>
      <c r="G173" s="14"/>
      <c r="H173" s="16">
        <f t="shared" si="5"/>
        <v>36.174</v>
      </c>
      <c r="I173" s="14">
        <v>151</v>
      </c>
    </row>
    <row r="174" ht="24" customHeight="1" spans="1:9">
      <c r="A174" s="14" t="str">
        <f>"15102010301"</f>
        <v>15102010301</v>
      </c>
      <c r="B174" s="15" t="s">
        <v>13</v>
      </c>
      <c r="C174" s="14" t="s">
        <v>12</v>
      </c>
      <c r="D174" s="16">
        <v>55.06</v>
      </c>
      <c r="E174" s="16">
        <f t="shared" si="4"/>
        <v>33.036</v>
      </c>
      <c r="F174" s="14">
        <v>2.5</v>
      </c>
      <c r="G174" s="14"/>
      <c r="H174" s="16">
        <f t="shared" si="5"/>
        <v>35.536</v>
      </c>
      <c r="I174" s="14">
        <v>152</v>
      </c>
    </row>
    <row r="175" ht="24" customHeight="1" spans="1:9">
      <c r="A175" s="14" t="str">
        <f>"15102010712"</f>
        <v>15102010712</v>
      </c>
      <c r="B175" s="15" t="s">
        <v>13</v>
      </c>
      <c r="C175" s="14" t="s">
        <v>12</v>
      </c>
      <c r="D175" s="16">
        <v>54.61</v>
      </c>
      <c r="E175" s="16">
        <f t="shared" si="4"/>
        <v>32.766</v>
      </c>
      <c r="F175" s="14">
        <v>2.5</v>
      </c>
      <c r="G175" s="14"/>
      <c r="H175" s="16">
        <f t="shared" si="5"/>
        <v>35.266</v>
      </c>
      <c r="I175" s="14">
        <v>153</v>
      </c>
    </row>
    <row r="176" ht="24" customHeight="1" spans="1:9">
      <c r="A176" s="14" t="str">
        <f>"15102010318"</f>
        <v>15102010318</v>
      </c>
      <c r="B176" s="15" t="s">
        <v>13</v>
      </c>
      <c r="C176" s="14" t="s">
        <v>12</v>
      </c>
      <c r="D176" s="16">
        <v>-1</v>
      </c>
      <c r="E176" s="16">
        <f t="shared" si="4"/>
        <v>-0.6</v>
      </c>
      <c r="F176" s="14">
        <v>2.5</v>
      </c>
      <c r="G176" s="14"/>
      <c r="H176" s="16">
        <f t="shared" si="5"/>
        <v>1.9</v>
      </c>
      <c r="I176" s="14">
        <v>154</v>
      </c>
    </row>
    <row r="177" ht="24" customHeight="1" spans="1:9">
      <c r="A177" s="14" t="str">
        <f>"15102010519"</f>
        <v>15102010519</v>
      </c>
      <c r="B177" s="15" t="s">
        <v>13</v>
      </c>
      <c r="C177" s="14" t="s">
        <v>12</v>
      </c>
      <c r="D177" s="16">
        <v>-1</v>
      </c>
      <c r="E177" s="16">
        <f t="shared" si="4"/>
        <v>-0.6</v>
      </c>
      <c r="F177" s="14">
        <v>2.5</v>
      </c>
      <c r="G177" s="14"/>
      <c r="H177" s="16">
        <f t="shared" si="5"/>
        <v>1.9</v>
      </c>
      <c r="I177" s="14">
        <v>155</v>
      </c>
    </row>
    <row r="178" ht="24" customHeight="1" spans="1:9">
      <c r="A178" s="14" t="str">
        <f>"15102010521"</f>
        <v>15102010521</v>
      </c>
      <c r="B178" s="15" t="s">
        <v>13</v>
      </c>
      <c r="C178" s="14" t="s">
        <v>12</v>
      </c>
      <c r="D178" s="16">
        <v>-1</v>
      </c>
      <c r="E178" s="16">
        <f t="shared" si="4"/>
        <v>-0.6</v>
      </c>
      <c r="F178" s="14">
        <v>2.5</v>
      </c>
      <c r="G178" s="14"/>
      <c r="H178" s="16">
        <f t="shared" si="5"/>
        <v>1.9</v>
      </c>
      <c r="I178" s="14">
        <v>156</v>
      </c>
    </row>
    <row r="179" ht="24" customHeight="1" spans="1:9">
      <c r="A179" s="14" t="str">
        <f>"15102010613"</f>
        <v>15102010613</v>
      </c>
      <c r="B179" s="15" t="s">
        <v>13</v>
      </c>
      <c r="C179" s="14" t="s">
        <v>12</v>
      </c>
      <c r="D179" s="16">
        <v>-1</v>
      </c>
      <c r="E179" s="16">
        <f t="shared" si="4"/>
        <v>-0.6</v>
      </c>
      <c r="F179" s="14">
        <v>2.5</v>
      </c>
      <c r="G179" s="14"/>
      <c r="H179" s="16">
        <f t="shared" si="5"/>
        <v>1.9</v>
      </c>
      <c r="I179" s="14">
        <v>157</v>
      </c>
    </row>
    <row r="180" ht="24" customHeight="1" spans="1:9">
      <c r="A180" s="14" t="str">
        <f>"15102010707"</f>
        <v>15102010707</v>
      </c>
      <c r="B180" s="15" t="s">
        <v>13</v>
      </c>
      <c r="C180" s="14" t="s">
        <v>12</v>
      </c>
      <c r="D180" s="16">
        <v>-1</v>
      </c>
      <c r="E180" s="16">
        <f t="shared" si="4"/>
        <v>-0.6</v>
      </c>
      <c r="F180" s="14">
        <v>2.5</v>
      </c>
      <c r="G180" s="14"/>
      <c r="H180" s="16">
        <f t="shared" si="5"/>
        <v>1.9</v>
      </c>
      <c r="I180" s="14">
        <v>158</v>
      </c>
    </row>
    <row r="181" ht="24" customHeight="1" spans="1:9">
      <c r="A181" s="14" t="str">
        <f>"15102010128"</f>
        <v>15102010128</v>
      </c>
      <c r="B181" s="15" t="s">
        <v>13</v>
      </c>
      <c r="C181" s="14" t="s">
        <v>11</v>
      </c>
      <c r="D181" s="16">
        <v>-1</v>
      </c>
      <c r="E181" s="16">
        <f t="shared" si="4"/>
        <v>-0.6</v>
      </c>
      <c r="F181" s="14"/>
      <c r="G181" s="14"/>
      <c r="H181" s="16">
        <f t="shared" si="5"/>
        <v>-0.6</v>
      </c>
      <c r="I181" s="14">
        <v>159</v>
      </c>
    </row>
    <row r="182" ht="24" customHeight="1" spans="1:9">
      <c r="A182" s="14" t="str">
        <f>"15102010130"</f>
        <v>15102010130</v>
      </c>
      <c r="B182" s="15" t="s">
        <v>13</v>
      </c>
      <c r="C182" s="14" t="s">
        <v>11</v>
      </c>
      <c r="D182" s="16">
        <v>-1</v>
      </c>
      <c r="E182" s="16">
        <f t="shared" si="4"/>
        <v>-0.6</v>
      </c>
      <c r="F182" s="14"/>
      <c r="G182" s="14"/>
      <c r="H182" s="16">
        <f t="shared" si="5"/>
        <v>-0.6</v>
      </c>
      <c r="I182" s="14">
        <v>160</v>
      </c>
    </row>
    <row r="183" ht="24" customHeight="1" spans="1:9">
      <c r="A183" s="14" t="str">
        <f>"15102010206"</f>
        <v>15102010206</v>
      </c>
      <c r="B183" s="15" t="s">
        <v>13</v>
      </c>
      <c r="C183" s="14" t="s">
        <v>11</v>
      </c>
      <c r="D183" s="16">
        <v>-1</v>
      </c>
      <c r="E183" s="16">
        <f t="shared" si="4"/>
        <v>-0.6</v>
      </c>
      <c r="F183" s="14"/>
      <c r="G183" s="14"/>
      <c r="H183" s="16">
        <f t="shared" si="5"/>
        <v>-0.6</v>
      </c>
      <c r="I183" s="14">
        <v>161</v>
      </c>
    </row>
    <row r="184" ht="24" customHeight="1" spans="1:9">
      <c r="A184" s="14" t="str">
        <f>"15102010208"</f>
        <v>15102010208</v>
      </c>
      <c r="B184" s="15" t="s">
        <v>13</v>
      </c>
      <c r="C184" s="14" t="s">
        <v>11</v>
      </c>
      <c r="D184" s="16">
        <v>-1</v>
      </c>
      <c r="E184" s="16">
        <f t="shared" si="4"/>
        <v>-0.6</v>
      </c>
      <c r="F184" s="14"/>
      <c r="G184" s="14"/>
      <c r="H184" s="16">
        <f t="shared" si="5"/>
        <v>-0.6</v>
      </c>
      <c r="I184" s="14">
        <v>162</v>
      </c>
    </row>
    <row r="185" ht="24" customHeight="1" spans="1:9">
      <c r="A185" s="14" t="str">
        <f>"15102010212"</f>
        <v>15102010212</v>
      </c>
      <c r="B185" s="15" t="s">
        <v>13</v>
      </c>
      <c r="C185" s="14" t="s">
        <v>11</v>
      </c>
      <c r="D185" s="16">
        <v>-1</v>
      </c>
      <c r="E185" s="16">
        <f t="shared" si="4"/>
        <v>-0.6</v>
      </c>
      <c r="F185" s="14"/>
      <c r="G185" s="14"/>
      <c r="H185" s="16">
        <f t="shared" si="5"/>
        <v>-0.6</v>
      </c>
      <c r="I185" s="14">
        <v>163</v>
      </c>
    </row>
    <row r="186" ht="24" customHeight="1" spans="1:9">
      <c r="A186" s="14" t="str">
        <f>"15102010215"</f>
        <v>15102010215</v>
      </c>
      <c r="B186" s="15" t="s">
        <v>13</v>
      </c>
      <c r="C186" s="14" t="s">
        <v>11</v>
      </c>
      <c r="D186" s="16">
        <v>-1</v>
      </c>
      <c r="E186" s="16">
        <f t="shared" si="4"/>
        <v>-0.6</v>
      </c>
      <c r="F186" s="14"/>
      <c r="G186" s="14"/>
      <c r="H186" s="16">
        <f t="shared" si="5"/>
        <v>-0.6</v>
      </c>
      <c r="I186" s="14">
        <v>164</v>
      </c>
    </row>
    <row r="187" ht="24" customHeight="1" spans="1:9">
      <c r="A187" s="14" t="str">
        <f>"15102010226"</f>
        <v>15102010226</v>
      </c>
      <c r="B187" s="15" t="s">
        <v>13</v>
      </c>
      <c r="C187" s="14" t="s">
        <v>11</v>
      </c>
      <c r="D187" s="16">
        <v>-1</v>
      </c>
      <c r="E187" s="16">
        <f t="shared" si="4"/>
        <v>-0.6</v>
      </c>
      <c r="F187" s="14"/>
      <c r="G187" s="14"/>
      <c r="H187" s="16">
        <f t="shared" si="5"/>
        <v>-0.6</v>
      </c>
      <c r="I187" s="14">
        <v>165</v>
      </c>
    </row>
    <row r="188" ht="24" customHeight="1" spans="1:9">
      <c r="A188" s="14" t="str">
        <f>"15102010309"</f>
        <v>15102010309</v>
      </c>
      <c r="B188" s="15" t="s">
        <v>13</v>
      </c>
      <c r="C188" s="14" t="s">
        <v>11</v>
      </c>
      <c r="D188" s="16">
        <v>-1</v>
      </c>
      <c r="E188" s="16">
        <f t="shared" si="4"/>
        <v>-0.6</v>
      </c>
      <c r="F188" s="14"/>
      <c r="G188" s="14"/>
      <c r="H188" s="16">
        <f t="shared" si="5"/>
        <v>-0.6</v>
      </c>
      <c r="I188" s="14">
        <v>166</v>
      </c>
    </row>
    <row r="189" ht="24" customHeight="1" spans="1:9">
      <c r="A189" s="14" t="str">
        <f>"15102010312"</f>
        <v>15102010312</v>
      </c>
      <c r="B189" s="15" t="s">
        <v>13</v>
      </c>
      <c r="C189" s="14" t="s">
        <v>11</v>
      </c>
      <c r="D189" s="16">
        <v>-1</v>
      </c>
      <c r="E189" s="16">
        <f t="shared" si="4"/>
        <v>-0.6</v>
      </c>
      <c r="F189" s="14"/>
      <c r="G189" s="14"/>
      <c r="H189" s="16">
        <f t="shared" si="5"/>
        <v>-0.6</v>
      </c>
      <c r="I189" s="14">
        <v>167</v>
      </c>
    </row>
    <row r="190" ht="24" customHeight="1" spans="1:9">
      <c r="A190" s="14" t="str">
        <f>"15102010313"</f>
        <v>15102010313</v>
      </c>
      <c r="B190" s="15" t="s">
        <v>13</v>
      </c>
      <c r="C190" s="14" t="s">
        <v>11</v>
      </c>
      <c r="D190" s="16">
        <v>-1</v>
      </c>
      <c r="E190" s="16">
        <f t="shared" si="4"/>
        <v>-0.6</v>
      </c>
      <c r="F190" s="14"/>
      <c r="G190" s="14"/>
      <c r="H190" s="16">
        <f t="shared" si="5"/>
        <v>-0.6</v>
      </c>
      <c r="I190" s="14">
        <v>168</v>
      </c>
    </row>
    <row r="191" ht="24" customHeight="1" spans="1:9">
      <c r="A191" s="14" t="str">
        <f>"15102010314"</f>
        <v>15102010314</v>
      </c>
      <c r="B191" s="15" t="s">
        <v>13</v>
      </c>
      <c r="C191" s="14" t="s">
        <v>11</v>
      </c>
      <c r="D191" s="16">
        <v>-1</v>
      </c>
      <c r="E191" s="16">
        <f t="shared" si="4"/>
        <v>-0.6</v>
      </c>
      <c r="F191" s="14"/>
      <c r="G191" s="14"/>
      <c r="H191" s="16">
        <f t="shared" si="5"/>
        <v>-0.6</v>
      </c>
      <c r="I191" s="14">
        <v>169</v>
      </c>
    </row>
    <row r="192" ht="24" customHeight="1" spans="1:9">
      <c r="A192" s="14" t="str">
        <f>"15102010323"</f>
        <v>15102010323</v>
      </c>
      <c r="B192" s="15" t="s">
        <v>13</v>
      </c>
      <c r="C192" s="14" t="s">
        <v>11</v>
      </c>
      <c r="D192" s="16">
        <v>-1</v>
      </c>
      <c r="E192" s="16">
        <f t="shared" si="4"/>
        <v>-0.6</v>
      </c>
      <c r="F192" s="14"/>
      <c r="G192" s="14"/>
      <c r="H192" s="16">
        <f t="shared" si="5"/>
        <v>-0.6</v>
      </c>
      <c r="I192" s="14">
        <v>170</v>
      </c>
    </row>
    <row r="193" ht="24" customHeight="1" spans="1:9">
      <c r="A193" s="14" t="str">
        <f>"15102010327"</f>
        <v>15102010327</v>
      </c>
      <c r="B193" s="15" t="s">
        <v>13</v>
      </c>
      <c r="C193" s="14" t="s">
        <v>11</v>
      </c>
      <c r="D193" s="16">
        <v>-1</v>
      </c>
      <c r="E193" s="16">
        <f t="shared" si="4"/>
        <v>-0.6</v>
      </c>
      <c r="F193" s="14"/>
      <c r="G193" s="14"/>
      <c r="H193" s="16">
        <f t="shared" si="5"/>
        <v>-0.6</v>
      </c>
      <c r="I193" s="14">
        <v>171</v>
      </c>
    </row>
    <row r="194" ht="24" customHeight="1" spans="1:9">
      <c r="A194" s="14" t="str">
        <f>"15102010409"</f>
        <v>15102010409</v>
      </c>
      <c r="B194" s="15" t="s">
        <v>13</v>
      </c>
      <c r="C194" s="14" t="s">
        <v>11</v>
      </c>
      <c r="D194" s="16">
        <v>-1</v>
      </c>
      <c r="E194" s="16">
        <f t="shared" si="4"/>
        <v>-0.6</v>
      </c>
      <c r="F194" s="14"/>
      <c r="G194" s="14"/>
      <c r="H194" s="16">
        <f t="shared" si="5"/>
        <v>-0.6</v>
      </c>
      <c r="I194" s="14">
        <v>172</v>
      </c>
    </row>
    <row r="195" ht="24" customHeight="1" spans="1:9">
      <c r="A195" s="14" t="str">
        <f>"15102010418"</f>
        <v>15102010418</v>
      </c>
      <c r="B195" s="15" t="s">
        <v>13</v>
      </c>
      <c r="C195" s="14" t="s">
        <v>11</v>
      </c>
      <c r="D195" s="16">
        <v>-1</v>
      </c>
      <c r="E195" s="16">
        <f t="shared" ref="E195:E258" si="6">D195*0.6</f>
        <v>-0.6</v>
      </c>
      <c r="F195" s="14"/>
      <c r="G195" s="14"/>
      <c r="H195" s="16">
        <f t="shared" ref="H195:H258" si="7">SUM(E195:G195)</f>
        <v>-0.6</v>
      </c>
      <c r="I195" s="14">
        <v>173</v>
      </c>
    </row>
    <row r="196" ht="24" customHeight="1" spans="1:9">
      <c r="A196" s="14" t="str">
        <f>"15102010424"</f>
        <v>15102010424</v>
      </c>
      <c r="B196" s="15" t="s">
        <v>13</v>
      </c>
      <c r="C196" s="14" t="s">
        <v>11</v>
      </c>
      <c r="D196" s="16">
        <v>-1</v>
      </c>
      <c r="E196" s="16">
        <f t="shared" si="6"/>
        <v>-0.6</v>
      </c>
      <c r="F196" s="14"/>
      <c r="G196" s="14"/>
      <c r="H196" s="16">
        <f t="shared" si="7"/>
        <v>-0.6</v>
      </c>
      <c r="I196" s="14">
        <v>174</v>
      </c>
    </row>
    <row r="197" ht="24" customHeight="1" spans="1:9">
      <c r="A197" s="14" t="str">
        <f>"15102010501"</f>
        <v>15102010501</v>
      </c>
      <c r="B197" s="15" t="s">
        <v>13</v>
      </c>
      <c r="C197" s="14" t="s">
        <v>11</v>
      </c>
      <c r="D197" s="16">
        <v>-1</v>
      </c>
      <c r="E197" s="16">
        <f t="shared" si="6"/>
        <v>-0.6</v>
      </c>
      <c r="F197" s="14"/>
      <c r="G197" s="14"/>
      <c r="H197" s="16">
        <f t="shared" si="7"/>
        <v>-0.6</v>
      </c>
      <c r="I197" s="14">
        <v>175</v>
      </c>
    </row>
    <row r="198" ht="24" customHeight="1" spans="1:9">
      <c r="A198" s="14" t="str">
        <f>"15102010506"</f>
        <v>15102010506</v>
      </c>
      <c r="B198" s="15" t="s">
        <v>13</v>
      </c>
      <c r="C198" s="14" t="s">
        <v>11</v>
      </c>
      <c r="D198" s="16">
        <v>-1</v>
      </c>
      <c r="E198" s="16">
        <f t="shared" si="6"/>
        <v>-0.6</v>
      </c>
      <c r="F198" s="14"/>
      <c r="G198" s="14"/>
      <c r="H198" s="16">
        <f t="shared" si="7"/>
        <v>-0.6</v>
      </c>
      <c r="I198" s="14">
        <v>176</v>
      </c>
    </row>
    <row r="199" ht="24" customHeight="1" spans="1:9">
      <c r="A199" s="14" t="str">
        <f>"15102010507"</f>
        <v>15102010507</v>
      </c>
      <c r="B199" s="15" t="s">
        <v>13</v>
      </c>
      <c r="C199" s="14" t="s">
        <v>11</v>
      </c>
      <c r="D199" s="16">
        <v>-1</v>
      </c>
      <c r="E199" s="16">
        <f t="shared" si="6"/>
        <v>-0.6</v>
      </c>
      <c r="F199" s="14"/>
      <c r="G199" s="14"/>
      <c r="H199" s="16">
        <f t="shared" si="7"/>
        <v>-0.6</v>
      </c>
      <c r="I199" s="14">
        <v>177</v>
      </c>
    </row>
    <row r="200" ht="24" customHeight="1" spans="1:9">
      <c r="A200" s="14" t="str">
        <f>"15102010514"</f>
        <v>15102010514</v>
      </c>
      <c r="B200" s="15" t="s">
        <v>13</v>
      </c>
      <c r="C200" s="14" t="s">
        <v>11</v>
      </c>
      <c r="D200" s="16">
        <v>-1</v>
      </c>
      <c r="E200" s="16">
        <f t="shared" si="6"/>
        <v>-0.6</v>
      </c>
      <c r="F200" s="14"/>
      <c r="G200" s="14"/>
      <c r="H200" s="16">
        <f t="shared" si="7"/>
        <v>-0.6</v>
      </c>
      <c r="I200" s="14">
        <v>178</v>
      </c>
    </row>
    <row r="201" ht="24" customHeight="1" spans="1:9">
      <c r="A201" s="14" t="str">
        <f>"15102010523"</f>
        <v>15102010523</v>
      </c>
      <c r="B201" s="15" t="s">
        <v>13</v>
      </c>
      <c r="C201" s="14" t="s">
        <v>11</v>
      </c>
      <c r="D201" s="16">
        <v>-1</v>
      </c>
      <c r="E201" s="16">
        <f t="shared" si="6"/>
        <v>-0.6</v>
      </c>
      <c r="F201" s="14"/>
      <c r="G201" s="14"/>
      <c r="H201" s="16">
        <f t="shared" si="7"/>
        <v>-0.6</v>
      </c>
      <c r="I201" s="14">
        <v>179</v>
      </c>
    </row>
    <row r="202" ht="24" customHeight="1" spans="1:9">
      <c r="A202" s="14" t="str">
        <f>"15102010607"</f>
        <v>15102010607</v>
      </c>
      <c r="B202" s="15" t="s">
        <v>13</v>
      </c>
      <c r="C202" s="14" t="s">
        <v>11</v>
      </c>
      <c r="D202" s="16">
        <v>-1</v>
      </c>
      <c r="E202" s="16">
        <f t="shared" si="6"/>
        <v>-0.6</v>
      </c>
      <c r="F202" s="14"/>
      <c r="G202" s="14"/>
      <c r="H202" s="16">
        <f t="shared" si="7"/>
        <v>-0.6</v>
      </c>
      <c r="I202" s="14">
        <v>180</v>
      </c>
    </row>
    <row r="203" ht="24" customHeight="1" spans="1:9">
      <c r="A203" s="14" t="str">
        <f>"15102010608"</f>
        <v>15102010608</v>
      </c>
      <c r="B203" s="15" t="s">
        <v>13</v>
      </c>
      <c r="C203" s="14" t="s">
        <v>11</v>
      </c>
      <c r="D203" s="16">
        <v>-1</v>
      </c>
      <c r="E203" s="16">
        <f t="shared" si="6"/>
        <v>-0.6</v>
      </c>
      <c r="F203" s="14"/>
      <c r="G203" s="14"/>
      <c r="H203" s="16">
        <f t="shared" si="7"/>
        <v>-0.6</v>
      </c>
      <c r="I203" s="14">
        <v>181</v>
      </c>
    </row>
    <row r="204" ht="24" customHeight="1" spans="1:9">
      <c r="A204" s="14" t="str">
        <f>"15102010614"</f>
        <v>15102010614</v>
      </c>
      <c r="B204" s="15" t="s">
        <v>13</v>
      </c>
      <c r="C204" s="14" t="s">
        <v>11</v>
      </c>
      <c r="D204" s="16">
        <v>-1</v>
      </c>
      <c r="E204" s="16">
        <f t="shared" si="6"/>
        <v>-0.6</v>
      </c>
      <c r="F204" s="14"/>
      <c r="G204" s="14"/>
      <c r="H204" s="16">
        <f t="shared" si="7"/>
        <v>-0.6</v>
      </c>
      <c r="I204" s="14">
        <v>182</v>
      </c>
    </row>
    <row r="205" ht="24" customHeight="1" spans="1:9">
      <c r="A205" s="14" t="str">
        <f>"15102010622"</f>
        <v>15102010622</v>
      </c>
      <c r="B205" s="15" t="s">
        <v>13</v>
      </c>
      <c r="C205" s="14" t="s">
        <v>11</v>
      </c>
      <c r="D205" s="16">
        <v>-1</v>
      </c>
      <c r="E205" s="16">
        <f t="shared" si="6"/>
        <v>-0.6</v>
      </c>
      <c r="F205" s="14"/>
      <c r="G205" s="14"/>
      <c r="H205" s="16">
        <f t="shared" si="7"/>
        <v>-0.6</v>
      </c>
      <c r="I205" s="14">
        <v>183</v>
      </c>
    </row>
    <row r="206" ht="24" customHeight="1" spans="1:9">
      <c r="A206" s="14" t="str">
        <f>"15102010623"</f>
        <v>15102010623</v>
      </c>
      <c r="B206" s="15" t="s">
        <v>13</v>
      </c>
      <c r="C206" s="14" t="s">
        <v>11</v>
      </c>
      <c r="D206" s="16">
        <v>-1</v>
      </c>
      <c r="E206" s="16">
        <f t="shared" si="6"/>
        <v>-0.6</v>
      </c>
      <c r="F206" s="14"/>
      <c r="G206" s="14"/>
      <c r="H206" s="16">
        <f t="shared" si="7"/>
        <v>-0.6</v>
      </c>
      <c r="I206" s="14">
        <v>184</v>
      </c>
    </row>
    <row r="207" ht="24" customHeight="1" spans="1:9">
      <c r="A207" s="14" t="str">
        <f>"15102010628"</f>
        <v>15102010628</v>
      </c>
      <c r="B207" s="15" t="s">
        <v>13</v>
      </c>
      <c r="C207" s="14" t="s">
        <v>11</v>
      </c>
      <c r="D207" s="16">
        <v>-1</v>
      </c>
      <c r="E207" s="16">
        <f t="shared" si="6"/>
        <v>-0.6</v>
      </c>
      <c r="F207" s="14"/>
      <c r="G207" s="14"/>
      <c r="H207" s="16">
        <f t="shared" si="7"/>
        <v>-0.6</v>
      </c>
      <c r="I207" s="14">
        <v>185</v>
      </c>
    </row>
    <row r="208" ht="24" customHeight="1" spans="1:9">
      <c r="A208" s="14" t="str">
        <f>"15102010629"</f>
        <v>15102010629</v>
      </c>
      <c r="B208" s="15" t="s">
        <v>13</v>
      </c>
      <c r="C208" s="14" t="s">
        <v>11</v>
      </c>
      <c r="D208" s="16">
        <v>-1</v>
      </c>
      <c r="E208" s="16">
        <f t="shared" si="6"/>
        <v>-0.6</v>
      </c>
      <c r="F208" s="14"/>
      <c r="G208" s="14"/>
      <c r="H208" s="16">
        <f t="shared" si="7"/>
        <v>-0.6</v>
      </c>
      <c r="I208" s="14">
        <v>186</v>
      </c>
    </row>
    <row r="209" ht="24" customHeight="1" spans="1:9">
      <c r="A209" s="14" t="str">
        <f>"15102010708"</f>
        <v>15102010708</v>
      </c>
      <c r="B209" s="15" t="s">
        <v>13</v>
      </c>
      <c r="C209" s="14" t="s">
        <v>11</v>
      </c>
      <c r="D209" s="16">
        <v>-1</v>
      </c>
      <c r="E209" s="16">
        <f t="shared" si="6"/>
        <v>-0.6</v>
      </c>
      <c r="F209" s="14"/>
      <c r="G209" s="14"/>
      <c r="H209" s="16">
        <f t="shared" si="7"/>
        <v>-0.6</v>
      </c>
      <c r="I209" s="14">
        <v>187</v>
      </c>
    </row>
    <row r="210" ht="24" customHeight="1" spans="1:9">
      <c r="A210" s="14" t="str">
        <f>"15102010717"</f>
        <v>15102010717</v>
      </c>
      <c r="B210" s="15" t="s">
        <v>13</v>
      </c>
      <c r="C210" s="14" t="s">
        <v>11</v>
      </c>
      <c r="D210" s="16">
        <v>-1</v>
      </c>
      <c r="E210" s="16">
        <f t="shared" si="6"/>
        <v>-0.6</v>
      </c>
      <c r="F210" s="14"/>
      <c r="G210" s="14"/>
      <c r="H210" s="16">
        <f t="shared" si="7"/>
        <v>-0.6</v>
      </c>
      <c r="I210" s="14">
        <v>188</v>
      </c>
    </row>
    <row r="211" ht="24" customHeight="1" spans="1:9">
      <c r="A211" s="14" t="str">
        <f>"15102010719"</f>
        <v>15102010719</v>
      </c>
      <c r="B211" s="15" t="s">
        <v>13</v>
      </c>
      <c r="C211" s="14" t="s">
        <v>11</v>
      </c>
      <c r="D211" s="16">
        <v>-1</v>
      </c>
      <c r="E211" s="16">
        <f t="shared" si="6"/>
        <v>-0.6</v>
      </c>
      <c r="F211" s="14"/>
      <c r="G211" s="14"/>
      <c r="H211" s="16">
        <f t="shared" si="7"/>
        <v>-0.6</v>
      </c>
      <c r="I211" s="14">
        <v>189</v>
      </c>
    </row>
    <row r="212" ht="24" customHeight="1" spans="1:9">
      <c r="A212" s="14" t="str">
        <f>"15102010724"</f>
        <v>15102010724</v>
      </c>
      <c r="B212" s="15" t="s">
        <v>13</v>
      </c>
      <c r="C212" s="14" t="s">
        <v>11</v>
      </c>
      <c r="D212" s="16">
        <v>-1</v>
      </c>
      <c r="E212" s="16">
        <f t="shared" si="6"/>
        <v>-0.6</v>
      </c>
      <c r="F212" s="14"/>
      <c r="G212" s="14"/>
      <c r="H212" s="16">
        <f t="shared" si="7"/>
        <v>-0.6</v>
      </c>
      <c r="I212" s="14">
        <v>190</v>
      </c>
    </row>
    <row r="213" ht="24" customHeight="1" spans="1:9">
      <c r="A213" s="14" t="str">
        <f>"15102010725"</f>
        <v>15102010725</v>
      </c>
      <c r="B213" s="15" t="s">
        <v>13</v>
      </c>
      <c r="C213" s="14" t="s">
        <v>11</v>
      </c>
      <c r="D213" s="16">
        <v>-1</v>
      </c>
      <c r="E213" s="16">
        <f t="shared" si="6"/>
        <v>-0.6</v>
      </c>
      <c r="F213" s="14"/>
      <c r="G213" s="14"/>
      <c r="H213" s="16">
        <f t="shared" si="7"/>
        <v>-0.6</v>
      </c>
      <c r="I213" s="14">
        <v>191</v>
      </c>
    </row>
    <row r="214" ht="24" customHeight="1" spans="1:9">
      <c r="A214" s="14" t="str">
        <f>"15102010801"</f>
        <v>15102010801</v>
      </c>
      <c r="B214" s="15" t="s">
        <v>13</v>
      </c>
      <c r="C214" s="14" t="s">
        <v>11</v>
      </c>
      <c r="D214" s="16">
        <v>-1</v>
      </c>
      <c r="E214" s="16">
        <f t="shared" si="6"/>
        <v>-0.6</v>
      </c>
      <c r="F214" s="14"/>
      <c r="G214" s="14"/>
      <c r="H214" s="16">
        <f t="shared" si="7"/>
        <v>-0.6</v>
      </c>
      <c r="I214" s="14">
        <v>192</v>
      </c>
    </row>
    <row r="215" ht="24" customHeight="1" spans="1:9">
      <c r="A215" s="14" t="str">
        <f>"15102010803"</f>
        <v>15102010803</v>
      </c>
      <c r="B215" s="15" t="s">
        <v>13</v>
      </c>
      <c r="C215" s="14" t="s">
        <v>11</v>
      </c>
      <c r="D215" s="16">
        <v>-1</v>
      </c>
      <c r="E215" s="16">
        <f t="shared" si="6"/>
        <v>-0.6</v>
      </c>
      <c r="F215" s="14"/>
      <c r="G215" s="14"/>
      <c r="H215" s="16">
        <f t="shared" si="7"/>
        <v>-0.6</v>
      </c>
      <c r="I215" s="14">
        <v>193</v>
      </c>
    </row>
    <row r="216" ht="24" customHeight="1" spans="1:9">
      <c r="A216" s="11" t="str">
        <f>"15103011008"</f>
        <v>15103011008</v>
      </c>
      <c r="B216" s="12" t="s">
        <v>14</v>
      </c>
      <c r="C216" s="11" t="s">
        <v>11</v>
      </c>
      <c r="D216" s="13">
        <v>81.71</v>
      </c>
      <c r="E216" s="13">
        <f t="shared" si="6"/>
        <v>49.026</v>
      </c>
      <c r="F216" s="11"/>
      <c r="G216" s="11"/>
      <c r="H216" s="13">
        <f t="shared" si="7"/>
        <v>49.026</v>
      </c>
      <c r="I216" s="11">
        <v>1</v>
      </c>
    </row>
    <row r="217" ht="24" customHeight="1" spans="1:9">
      <c r="A217" s="11" t="str">
        <f>"15103011016"</f>
        <v>15103011016</v>
      </c>
      <c r="B217" s="12" t="s">
        <v>14</v>
      </c>
      <c r="C217" s="11" t="s">
        <v>11</v>
      </c>
      <c r="D217" s="13">
        <v>76.07</v>
      </c>
      <c r="E217" s="13">
        <f t="shared" si="6"/>
        <v>45.642</v>
      </c>
      <c r="F217" s="11"/>
      <c r="G217" s="11"/>
      <c r="H217" s="13">
        <f t="shared" si="7"/>
        <v>45.642</v>
      </c>
      <c r="I217" s="11">
        <v>2</v>
      </c>
    </row>
    <row r="218" ht="24" customHeight="1" spans="1:9">
      <c r="A218" s="11" t="str">
        <f>"15103011011"</f>
        <v>15103011011</v>
      </c>
      <c r="B218" s="12" t="s">
        <v>14</v>
      </c>
      <c r="C218" s="11" t="s">
        <v>11</v>
      </c>
      <c r="D218" s="13">
        <v>75.88</v>
      </c>
      <c r="E218" s="13">
        <f t="shared" si="6"/>
        <v>45.528</v>
      </c>
      <c r="F218" s="11"/>
      <c r="G218" s="11"/>
      <c r="H218" s="13">
        <f t="shared" si="7"/>
        <v>45.528</v>
      </c>
      <c r="I218" s="11">
        <v>3</v>
      </c>
    </row>
    <row r="219" ht="24" customHeight="1" spans="1:9">
      <c r="A219" s="11" t="str">
        <f>"15103011009"</f>
        <v>15103011009</v>
      </c>
      <c r="B219" s="12" t="s">
        <v>14</v>
      </c>
      <c r="C219" s="11" t="s">
        <v>11</v>
      </c>
      <c r="D219" s="13">
        <v>74.89</v>
      </c>
      <c r="E219" s="13">
        <f t="shared" si="6"/>
        <v>44.934</v>
      </c>
      <c r="F219" s="11"/>
      <c r="G219" s="11"/>
      <c r="H219" s="13">
        <f t="shared" si="7"/>
        <v>44.934</v>
      </c>
      <c r="I219" s="11">
        <v>4</v>
      </c>
    </row>
    <row r="220" ht="24" customHeight="1" spans="1:9">
      <c r="A220" s="11" t="str">
        <f>"15103011014"</f>
        <v>15103011014</v>
      </c>
      <c r="B220" s="12" t="s">
        <v>14</v>
      </c>
      <c r="C220" s="11" t="s">
        <v>11</v>
      </c>
      <c r="D220" s="13">
        <v>74.55</v>
      </c>
      <c r="E220" s="13">
        <f t="shared" si="6"/>
        <v>44.73</v>
      </c>
      <c r="F220" s="11"/>
      <c r="G220" s="11"/>
      <c r="H220" s="13">
        <f t="shared" si="7"/>
        <v>44.73</v>
      </c>
      <c r="I220" s="11">
        <v>5</v>
      </c>
    </row>
    <row r="221" ht="24" customHeight="1" spans="1:9">
      <c r="A221" s="11" t="str">
        <f>"15103011002"</f>
        <v>15103011002</v>
      </c>
      <c r="B221" s="12" t="s">
        <v>14</v>
      </c>
      <c r="C221" s="11" t="s">
        <v>11</v>
      </c>
      <c r="D221" s="13">
        <v>74.3</v>
      </c>
      <c r="E221" s="13">
        <f t="shared" si="6"/>
        <v>44.58</v>
      </c>
      <c r="F221" s="11"/>
      <c r="G221" s="11"/>
      <c r="H221" s="13">
        <f t="shared" si="7"/>
        <v>44.58</v>
      </c>
      <c r="I221" s="11">
        <v>6</v>
      </c>
    </row>
    <row r="222" ht="24" customHeight="1" spans="1:9">
      <c r="A222" s="11" t="str">
        <f>"15103011015"</f>
        <v>15103011015</v>
      </c>
      <c r="B222" s="12" t="s">
        <v>14</v>
      </c>
      <c r="C222" s="11" t="s">
        <v>11</v>
      </c>
      <c r="D222" s="13">
        <v>71.94</v>
      </c>
      <c r="E222" s="13">
        <f t="shared" si="6"/>
        <v>43.164</v>
      </c>
      <c r="F222" s="11"/>
      <c r="G222" s="11"/>
      <c r="H222" s="13">
        <f t="shared" si="7"/>
        <v>43.164</v>
      </c>
      <c r="I222" s="11">
        <v>7</v>
      </c>
    </row>
    <row r="223" ht="24" customHeight="1" spans="1:9">
      <c r="A223" s="11" t="str">
        <f>"15103011003"</f>
        <v>15103011003</v>
      </c>
      <c r="B223" s="12" t="s">
        <v>14</v>
      </c>
      <c r="C223" s="11" t="s">
        <v>11</v>
      </c>
      <c r="D223" s="13">
        <v>70.1</v>
      </c>
      <c r="E223" s="13">
        <f t="shared" si="6"/>
        <v>42.06</v>
      </c>
      <c r="F223" s="11"/>
      <c r="G223" s="11"/>
      <c r="H223" s="13">
        <f t="shared" si="7"/>
        <v>42.06</v>
      </c>
      <c r="I223" s="11">
        <v>8</v>
      </c>
    </row>
    <row r="224" ht="24" customHeight="1" spans="1:9">
      <c r="A224" s="11" t="str">
        <f>"15103011018"</f>
        <v>15103011018</v>
      </c>
      <c r="B224" s="12" t="s">
        <v>14</v>
      </c>
      <c r="C224" s="11" t="s">
        <v>11</v>
      </c>
      <c r="D224" s="13">
        <v>68.74</v>
      </c>
      <c r="E224" s="13">
        <f t="shared" si="6"/>
        <v>41.244</v>
      </c>
      <c r="F224" s="11"/>
      <c r="G224" s="11"/>
      <c r="H224" s="13">
        <f t="shared" si="7"/>
        <v>41.244</v>
      </c>
      <c r="I224" s="11">
        <v>9</v>
      </c>
    </row>
    <row r="225" ht="24" customHeight="1" spans="1:9">
      <c r="A225" s="14" t="str">
        <f>"15103011010"</f>
        <v>15103011010</v>
      </c>
      <c r="B225" s="15" t="s">
        <v>14</v>
      </c>
      <c r="C225" s="14" t="s">
        <v>11</v>
      </c>
      <c r="D225" s="16">
        <v>67.38</v>
      </c>
      <c r="E225" s="16">
        <f t="shared" si="6"/>
        <v>40.428</v>
      </c>
      <c r="F225" s="14"/>
      <c r="G225" s="14"/>
      <c r="H225" s="16">
        <f t="shared" si="7"/>
        <v>40.428</v>
      </c>
      <c r="I225" s="14">
        <v>10</v>
      </c>
    </row>
    <row r="226" ht="24" customHeight="1" spans="1:9">
      <c r="A226" s="14" t="str">
        <f>"15103011019"</f>
        <v>15103011019</v>
      </c>
      <c r="B226" s="15" t="s">
        <v>14</v>
      </c>
      <c r="C226" s="14" t="s">
        <v>11</v>
      </c>
      <c r="D226" s="16">
        <v>66.81</v>
      </c>
      <c r="E226" s="16">
        <f t="shared" si="6"/>
        <v>40.086</v>
      </c>
      <c r="F226" s="14"/>
      <c r="G226" s="14"/>
      <c r="H226" s="16">
        <f t="shared" si="7"/>
        <v>40.086</v>
      </c>
      <c r="I226" s="14">
        <v>11</v>
      </c>
    </row>
    <row r="227" ht="24" customHeight="1" spans="1:9">
      <c r="A227" s="14" t="str">
        <f>"15103011007"</f>
        <v>15103011007</v>
      </c>
      <c r="B227" s="15" t="s">
        <v>14</v>
      </c>
      <c r="C227" s="14" t="s">
        <v>11</v>
      </c>
      <c r="D227" s="16">
        <v>64.2</v>
      </c>
      <c r="E227" s="16">
        <f t="shared" si="6"/>
        <v>38.52</v>
      </c>
      <c r="F227" s="14"/>
      <c r="G227" s="14"/>
      <c r="H227" s="16">
        <f t="shared" si="7"/>
        <v>38.52</v>
      </c>
      <c r="I227" s="14">
        <v>12</v>
      </c>
    </row>
    <row r="228" ht="24" customHeight="1" spans="1:9">
      <c r="A228" s="14" t="str">
        <f>"15103011017"</f>
        <v>15103011017</v>
      </c>
      <c r="B228" s="15" t="s">
        <v>14</v>
      </c>
      <c r="C228" s="14" t="s">
        <v>11</v>
      </c>
      <c r="D228" s="16">
        <v>61.89</v>
      </c>
      <c r="E228" s="16">
        <f t="shared" si="6"/>
        <v>37.134</v>
      </c>
      <c r="F228" s="14"/>
      <c r="G228" s="14"/>
      <c r="H228" s="16">
        <f t="shared" si="7"/>
        <v>37.134</v>
      </c>
      <c r="I228" s="14">
        <v>13</v>
      </c>
    </row>
    <row r="229" ht="24" customHeight="1" spans="1:9">
      <c r="A229" s="14" t="str">
        <f>"15103011004"</f>
        <v>15103011004</v>
      </c>
      <c r="B229" s="15" t="s">
        <v>14</v>
      </c>
      <c r="C229" s="14" t="s">
        <v>11</v>
      </c>
      <c r="D229" s="16">
        <v>56.49</v>
      </c>
      <c r="E229" s="16">
        <f t="shared" si="6"/>
        <v>33.894</v>
      </c>
      <c r="F229" s="14"/>
      <c r="G229" s="14"/>
      <c r="H229" s="16">
        <f t="shared" si="7"/>
        <v>33.894</v>
      </c>
      <c r="I229" s="14">
        <v>14</v>
      </c>
    </row>
    <row r="230" ht="24" customHeight="1" spans="1:9">
      <c r="A230" s="14" t="str">
        <f>"15103011001"</f>
        <v>15103011001</v>
      </c>
      <c r="B230" s="15" t="s">
        <v>14</v>
      </c>
      <c r="C230" s="14" t="s">
        <v>11</v>
      </c>
      <c r="D230" s="16">
        <v>50.83</v>
      </c>
      <c r="E230" s="16">
        <f t="shared" si="6"/>
        <v>30.498</v>
      </c>
      <c r="F230" s="14"/>
      <c r="G230" s="14"/>
      <c r="H230" s="16">
        <f t="shared" si="7"/>
        <v>30.498</v>
      </c>
      <c r="I230" s="14">
        <v>15</v>
      </c>
    </row>
    <row r="231" ht="24" customHeight="1" spans="1:9">
      <c r="A231" s="14" t="str">
        <f>"15103011005"</f>
        <v>15103011005</v>
      </c>
      <c r="B231" s="15" t="s">
        <v>14</v>
      </c>
      <c r="C231" s="14" t="s">
        <v>11</v>
      </c>
      <c r="D231" s="16">
        <v>-1</v>
      </c>
      <c r="E231" s="16">
        <f t="shared" si="6"/>
        <v>-0.6</v>
      </c>
      <c r="F231" s="14"/>
      <c r="G231" s="14"/>
      <c r="H231" s="16">
        <f t="shared" si="7"/>
        <v>-0.6</v>
      </c>
      <c r="I231" s="14">
        <v>16</v>
      </c>
    </row>
    <row r="232" ht="24" customHeight="1" spans="1:9">
      <c r="A232" s="14" t="str">
        <f>"15103011006"</f>
        <v>15103011006</v>
      </c>
      <c r="B232" s="15" t="s">
        <v>14</v>
      </c>
      <c r="C232" s="14" t="s">
        <v>11</v>
      </c>
      <c r="D232" s="16">
        <v>-1</v>
      </c>
      <c r="E232" s="16">
        <f t="shared" si="6"/>
        <v>-0.6</v>
      </c>
      <c r="F232" s="14"/>
      <c r="G232" s="14"/>
      <c r="H232" s="16">
        <f t="shared" si="7"/>
        <v>-0.6</v>
      </c>
      <c r="I232" s="14">
        <v>17</v>
      </c>
    </row>
    <row r="233" ht="24" customHeight="1" spans="1:9">
      <c r="A233" s="14" t="str">
        <f>"15103011012"</f>
        <v>15103011012</v>
      </c>
      <c r="B233" s="15" t="s">
        <v>14</v>
      </c>
      <c r="C233" s="14" t="s">
        <v>11</v>
      </c>
      <c r="D233" s="16">
        <v>-1</v>
      </c>
      <c r="E233" s="16">
        <f t="shared" si="6"/>
        <v>-0.6</v>
      </c>
      <c r="F233" s="14"/>
      <c r="G233" s="14"/>
      <c r="H233" s="16">
        <f t="shared" si="7"/>
        <v>-0.6</v>
      </c>
      <c r="I233" s="14">
        <v>18</v>
      </c>
    </row>
    <row r="234" ht="24" customHeight="1" spans="1:9">
      <c r="A234" s="14" t="str">
        <f>"15103011013"</f>
        <v>15103011013</v>
      </c>
      <c r="B234" s="15" t="s">
        <v>14</v>
      </c>
      <c r="C234" s="14" t="s">
        <v>11</v>
      </c>
      <c r="D234" s="16">
        <v>-1</v>
      </c>
      <c r="E234" s="16">
        <f t="shared" si="6"/>
        <v>-0.6</v>
      </c>
      <c r="F234" s="14"/>
      <c r="G234" s="14"/>
      <c r="H234" s="16">
        <f t="shared" si="7"/>
        <v>-0.6</v>
      </c>
      <c r="I234" s="14">
        <v>19</v>
      </c>
    </row>
    <row r="235" ht="24" customHeight="1" spans="1:9">
      <c r="A235" s="14" t="str">
        <f>"15103011020"</f>
        <v>15103011020</v>
      </c>
      <c r="B235" s="15" t="s">
        <v>14</v>
      </c>
      <c r="C235" s="14" t="s">
        <v>11</v>
      </c>
      <c r="D235" s="16">
        <v>-1</v>
      </c>
      <c r="E235" s="16">
        <f t="shared" si="6"/>
        <v>-0.6</v>
      </c>
      <c r="F235" s="14"/>
      <c r="G235" s="14"/>
      <c r="H235" s="16">
        <f t="shared" si="7"/>
        <v>-0.6</v>
      </c>
      <c r="I235" s="14">
        <v>20</v>
      </c>
    </row>
    <row r="236" ht="24" customHeight="1" spans="1:9">
      <c r="A236" s="11" t="str">
        <f>"15104011111"</f>
        <v>15104011111</v>
      </c>
      <c r="B236" s="12" t="s">
        <v>15</v>
      </c>
      <c r="C236" s="11" t="s">
        <v>11</v>
      </c>
      <c r="D236" s="13">
        <v>82.33</v>
      </c>
      <c r="E236" s="13">
        <f t="shared" si="6"/>
        <v>49.398</v>
      </c>
      <c r="F236" s="11"/>
      <c r="G236" s="11"/>
      <c r="H236" s="13">
        <f t="shared" si="7"/>
        <v>49.398</v>
      </c>
      <c r="I236" s="11">
        <v>1</v>
      </c>
    </row>
    <row r="237" ht="24" customHeight="1" spans="1:9">
      <c r="A237" s="11" t="str">
        <f>"15104011127"</f>
        <v>15104011127</v>
      </c>
      <c r="B237" s="12" t="s">
        <v>15</v>
      </c>
      <c r="C237" s="11" t="s">
        <v>11</v>
      </c>
      <c r="D237" s="13">
        <v>78.46</v>
      </c>
      <c r="E237" s="13">
        <f t="shared" si="6"/>
        <v>47.076</v>
      </c>
      <c r="F237" s="11"/>
      <c r="G237" s="11"/>
      <c r="H237" s="13">
        <f t="shared" si="7"/>
        <v>47.076</v>
      </c>
      <c r="I237" s="11">
        <v>2</v>
      </c>
    </row>
    <row r="238" ht="24" customHeight="1" spans="1:9">
      <c r="A238" s="11" t="str">
        <f>"15104011021"</f>
        <v>15104011021</v>
      </c>
      <c r="B238" s="12" t="s">
        <v>15</v>
      </c>
      <c r="C238" s="11" t="s">
        <v>11</v>
      </c>
      <c r="D238" s="13">
        <v>76.92</v>
      </c>
      <c r="E238" s="13">
        <f t="shared" si="6"/>
        <v>46.152</v>
      </c>
      <c r="F238" s="11"/>
      <c r="G238" s="11"/>
      <c r="H238" s="13">
        <f t="shared" si="7"/>
        <v>46.152</v>
      </c>
      <c r="I238" s="11">
        <v>3</v>
      </c>
    </row>
    <row r="239" ht="24" customHeight="1" spans="1:9">
      <c r="A239" s="11" t="str">
        <f>"15104011023"</f>
        <v>15104011023</v>
      </c>
      <c r="B239" s="12" t="s">
        <v>15</v>
      </c>
      <c r="C239" s="11" t="s">
        <v>11</v>
      </c>
      <c r="D239" s="13">
        <v>74.38</v>
      </c>
      <c r="E239" s="13">
        <f t="shared" si="6"/>
        <v>44.628</v>
      </c>
      <c r="F239" s="11"/>
      <c r="G239" s="11"/>
      <c r="H239" s="13">
        <f t="shared" si="7"/>
        <v>44.628</v>
      </c>
      <c r="I239" s="11">
        <v>4</v>
      </c>
    </row>
    <row r="240" ht="24" customHeight="1" spans="1:9">
      <c r="A240" s="11" t="str">
        <f>"15104011112"</f>
        <v>15104011112</v>
      </c>
      <c r="B240" s="12" t="s">
        <v>15</v>
      </c>
      <c r="C240" s="11" t="s">
        <v>11</v>
      </c>
      <c r="D240" s="13">
        <v>73.13</v>
      </c>
      <c r="E240" s="13">
        <f t="shared" si="6"/>
        <v>43.878</v>
      </c>
      <c r="F240" s="11"/>
      <c r="G240" s="11"/>
      <c r="H240" s="13">
        <f t="shared" si="7"/>
        <v>43.878</v>
      </c>
      <c r="I240" s="11">
        <v>5</v>
      </c>
    </row>
    <row r="241" ht="24" customHeight="1" spans="1:9">
      <c r="A241" s="11" t="str">
        <f>"15104011128"</f>
        <v>15104011128</v>
      </c>
      <c r="B241" s="12" t="s">
        <v>15</v>
      </c>
      <c r="C241" s="11" t="s">
        <v>11</v>
      </c>
      <c r="D241" s="13">
        <v>71.85</v>
      </c>
      <c r="E241" s="13">
        <f t="shared" si="6"/>
        <v>43.11</v>
      </c>
      <c r="F241" s="11"/>
      <c r="G241" s="11"/>
      <c r="H241" s="13">
        <f t="shared" si="7"/>
        <v>43.11</v>
      </c>
      <c r="I241" s="11">
        <v>6</v>
      </c>
    </row>
    <row r="242" ht="24" customHeight="1" spans="1:9">
      <c r="A242" s="11" t="str">
        <f>"15104011027"</f>
        <v>15104011027</v>
      </c>
      <c r="B242" s="12" t="s">
        <v>15</v>
      </c>
      <c r="C242" s="11" t="s">
        <v>11</v>
      </c>
      <c r="D242" s="13">
        <v>71.23</v>
      </c>
      <c r="E242" s="13">
        <f t="shared" si="6"/>
        <v>42.738</v>
      </c>
      <c r="F242" s="11"/>
      <c r="G242" s="11"/>
      <c r="H242" s="13">
        <f t="shared" si="7"/>
        <v>42.738</v>
      </c>
      <c r="I242" s="11">
        <v>7</v>
      </c>
    </row>
    <row r="243" ht="24" customHeight="1" spans="1:9">
      <c r="A243" s="11" t="str">
        <f>"15104011120"</f>
        <v>15104011120</v>
      </c>
      <c r="B243" s="12" t="s">
        <v>15</v>
      </c>
      <c r="C243" s="11" t="s">
        <v>11</v>
      </c>
      <c r="D243" s="13">
        <v>71.11</v>
      </c>
      <c r="E243" s="13">
        <f t="shared" si="6"/>
        <v>42.666</v>
      </c>
      <c r="F243" s="11"/>
      <c r="G243" s="11"/>
      <c r="H243" s="13">
        <f t="shared" si="7"/>
        <v>42.666</v>
      </c>
      <c r="I243" s="11">
        <v>8</v>
      </c>
    </row>
    <row r="244" ht="24" customHeight="1" spans="1:9">
      <c r="A244" s="11" t="str">
        <f>"15104011025"</f>
        <v>15104011025</v>
      </c>
      <c r="B244" s="12" t="s">
        <v>15</v>
      </c>
      <c r="C244" s="11" t="s">
        <v>11</v>
      </c>
      <c r="D244" s="13">
        <v>70.3</v>
      </c>
      <c r="E244" s="13">
        <f t="shared" si="6"/>
        <v>42.18</v>
      </c>
      <c r="F244" s="11"/>
      <c r="G244" s="11"/>
      <c r="H244" s="13">
        <f t="shared" si="7"/>
        <v>42.18</v>
      </c>
      <c r="I244" s="11">
        <v>9</v>
      </c>
    </row>
    <row r="245" ht="24" customHeight="1" spans="1:9">
      <c r="A245" s="11" t="str">
        <f>"15104011105"</f>
        <v>15104011105</v>
      </c>
      <c r="B245" s="12" t="s">
        <v>15</v>
      </c>
      <c r="C245" s="11" t="s">
        <v>11</v>
      </c>
      <c r="D245" s="13">
        <v>70.13</v>
      </c>
      <c r="E245" s="13">
        <f t="shared" si="6"/>
        <v>42.078</v>
      </c>
      <c r="F245" s="11"/>
      <c r="G245" s="11"/>
      <c r="H245" s="13">
        <f t="shared" si="7"/>
        <v>42.078</v>
      </c>
      <c r="I245" s="11">
        <v>10</v>
      </c>
    </row>
    <row r="246" ht="24" customHeight="1" spans="1:9">
      <c r="A246" s="11" t="str">
        <f>"15104011030"</f>
        <v>15104011030</v>
      </c>
      <c r="B246" s="12" t="s">
        <v>15</v>
      </c>
      <c r="C246" s="11" t="s">
        <v>11</v>
      </c>
      <c r="D246" s="13">
        <v>63.92</v>
      </c>
      <c r="E246" s="13">
        <f t="shared" si="6"/>
        <v>38.352</v>
      </c>
      <c r="F246" s="11"/>
      <c r="G246" s="11"/>
      <c r="H246" s="13">
        <f t="shared" si="7"/>
        <v>38.352</v>
      </c>
      <c r="I246" s="11">
        <v>11</v>
      </c>
    </row>
    <row r="247" ht="24" customHeight="1" spans="1:9">
      <c r="A247" s="11" t="str">
        <f>"15104011129"</f>
        <v>15104011129</v>
      </c>
      <c r="B247" s="12" t="s">
        <v>15</v>
      </c>
      <c r="C247" s="11" t="s">
        <v>11</v>
      </c>
      <c r="D247" s="13">
        <v>63.05</v>
      </c>
      <c r="E247" s="13">
        <f t="shared" si="6"/>
        <v>37.83</v>
      </c>
      <c r="F247" s="11"/>
      <c r="G247" s="11"/>
      <c r="H247" s="13">
        <f t="shared" si="7"/>
        <v>37.83</v>
      </c>
      <c r="I247" s="11">
        <v>12</v>
      </c>
    </row>
    <row r="248" ht="24" customHeight="1" spans="1:9">
      <c r="A248" s="11" t="str">
        <f>"15104011122"</f>
        <v>15104011122</v>
      </c>
      <c r="B248" s="12" t="s">
        <v>15</v>
      </c>
      <c r="C248" s="11" t="s">
        <v>11</v>
      </c>
      <c r="D248" s="13">
        <v>62.68</v>
      </c>
      <c r="E248" s="13">
        <f t="shared" si="6"/>
        <v>37.608</v>
      </c>
      <c r="F248" s="11"/>
      <c r="G248" s="11"/>
      <c r="H248" s="13">
        <f t="shared" si="7"/>
        <v>37.608</v>
      </c>
      <c r="I248" s="11">
        <v>13</v>
      </c>
    </row>
    <row r="249" ht="24" customHeight="1" spans="1:9">
      <c r="A249" s="11" t="str">
        <f>"15104011109"</f>
        <v>15104011109</v>
      </c>
      <c r="B249" s="12" t="s">
        <v>15</v>
      </c>
      <c r="C249" s="11" t="s">
        <v>11</v>
      </c>
      <c r="D249" s="13">
        <v>62.47</v>
      </c>
      <c r="E249" s="13">
        <f t="shared" si="6"/>
        <v>37.482</v>
      </c>
      <c r="F249" s="11"/>
      <c r="G249" s="11"/>
      <c r="H249" s="13">
        <f t="shared" si="7"/>
        <v>37.482</v>
      </c>
      <c r="I249" s="11">
        <v>14</v>
      </c>
    </row>
    <row r="250" ht="24" customHeight="1" spans="1:9">
      <c r="A250" s="14" t="str">
        <f>"15104011103"</f>
        <v>15104011103</v>
      </c>
      <c r="B250" s="15" t="s">
        <v>15</v>
      </c>
      <c r="C250" s="14" t="s">
        <v>12</v>
      </c>
      <c r="D250" s="16">
        <v>57.79</v>
      </c>
      <c r="E250" s="16">
        <f t="shared" si="6"/>
        <v>34.674</v>
      </c>
      <c r="F250" s="14">
        <v>2.5</v>
      </c>
      <c r="G250" s="14"/>
      <c r="H250" s="16">
        <f t="shared" si="7"/>
        <v>37.174</v>
      </c>
      <c r="I250" s="14">
        <v>15</v>
      </c>
    </row>
    <row r="251" ht="24" customHeight="1" spans="1:9">
      <c r="A251" s="14" t="str">
        <f>"15104011114"</f>
        <v>15104011114</v>
      </c>
      <c r="B251" s="15" t="s">
        <v>15</v>
      </c>
      <c r="C251" s="14" t="s">
        <v>11</v>
      </c>
      <c r="D251" s="16">
        <v>59.8</v>
      </c>
      <c r="E251" s="16">
        <f t="shared" si="6"/>
        <v>35.88</v>
      </c>
      <c r="F251" s="14"/>
      <c r="G251" s="14"/>
      <c r="H251" s="16">
        <f t="shared" si="7"/>
        <v>35.88</v>
      </c>
      <c r="I251" s="14">
        <v>16</v>
      </c>
    </row>
    <row r="252" ht="24" customHeight="1" spans="1:9">
      <c r="A252" s="14" t="str">
        <f>"15104011123"</f>
        <v>15104011123</v>
      </c>
      <c r="B252" s="15" t="s">
        <v>15</v>
      </c>
      <c r="C252" s="14" t="s">
        <v>11</v>
      </c>
      <c r="D252" s="16">
        <v>58.84</v>
      </c>
      <c r="E252" s="16">
        <f t="shared" si="6"/>
        <v>35.304</v>
      </c>
      <c r="F252" s="14"/>
      <c r="G252" s="14"/>
      <c r="H252" s="16">
        <f t="shared" si="7"/>
        <v>35.304</v>
      </c>
      <c r="I252" s="14">
        <v>17</v>
      </c>
    </row>
    <row r="253" ht="24" customHeight="1" spans="1:9">
      <c r="A253" s="14" t="str">
        <f>"15104011119"</f>
        <v>15104011119</v>
      </c>
      <c r="B253" s="15" t="s">
        <v>15</v>
      </c>
      <c r="C253" s="14" t="s">
        <v>11</v>
      </c>
      <c r="D253" s="16">
        <v>58.1</v>
      </c>
      <c r="E253" s="16">
        <f t="shared" si="6"/>
        <v>34.86</v>
      </c>
      <c r="F253" s="14"/>
      <c r="G253" s="14"/>
      <c r="H253" s="16">
        <f t="shared" si="7"/>
        <v>34.86</v>
      </c>
      <c r="I253" s="14">
        <v>18</v>
      </c>
    </row>
    <row r="254" ht="24" customHeight="1" spans="1:9">
      <c r="A254" s="14" t="str">
        <f>"15104011106"</f>
        <v>15104011106</v>
      </c>
      <c r="B254" s="15" t="s">
        <v>15</v>
      </c>
      <c r="C254" s="14" t="s">
        <v>11</v>
      </c>
      <c r="D254" s="16">
        <v>57.76</v>
      </c>
      <c r="E254" s="16">
        <f t="shared" si="6"/>
        <v>34.656</v>
      </c>
      <c r="F254" s="14"/>
      <c r="G254" s="14"/>
      <c r="H254" s="16">
        <f t="shared" si="7"/>
        <v>34.656</v>
      </c>
      <c r="I254" s="14">
        <v>19</v>
      </c>
    </row>
    <row r="255" ht="24" customHeight="1" spans="1:9">
      <c r="A255" s="14" t="str">
        <f>"15104011117"</f>
        <v>15104011117</v>
      </c>
      <c r="B255" s="15" t="s">
        <v>15</v>
      </c>
      <c r="C255" s="14" t="s">
        <v>11</v>
      </c>
      <c r="D255" s="16">
        <v>57.16</v>
      </c>
      <c r="E255" s="16">
        <f t="shared" si="6"/>
        <v>34.296</v>
      </c>
      <c r="F255" s="14"/>
      <c r="G255" s="14"/>
      <c r="H255" s="16">
        <f t="shared" si="7"/>
        <v>34.296</v>
      </c>
      <c r="I255" s="14">
        <v>20</v>
      </c>
    </row>
    <row r="256" ht="24" customHeight="1" spans="1:9">
      <c r="A256" s="14" t="str">
        <f>"15104011115"</f>
        <v>15104011115</v>
      </c>
      <c r="B256" s="15" t="s">
        <v>15</v>
      </c>
      <c r="C256" s="14" t="s">
        <v>11</v>
      </c>
      <c r="D256" s="16">
        <v>57.11</v>
      </c>
      <c r="E256" s="16">
        <f t="shared" si="6"/>
        <v>34.266</v>
      </c>
      <c r="F256" s="14"/>
      <c r="G256" s="14"/>
      <c r="H256" s="16">
        <f t="shared" si="7"/>
        <v>34.266</v>
      </c>
      <c r="I256" s="14">
        <v>21</v>
      </c>
    </row>
    <row r="257" ht="24" customHeight="1" spans="1:9">
      <c r="A257" s="14" t="str">
        <f>"15104011118"</f>
        <v>15104011118</v>
      </c>
      <c r="B257" s="15" t="s">
        <v>15</v>
      </c>
      <c r="C257" s="14" t="s">
        <v>11</v>
      </c>
      <c r="D257" s="16">
        <v>57.04</v>
      </c>
      <c r="E257" s="16">
        <f t="shared" si="6"/>
        <v>34.224</v>
      </c>
      <c r="F257" s="14"/>
      <c r="G257" s="14"/>
      <c r="H257" s="16">
        <f t="shared" si="7"/>
        <v>34.224</v>
      </c>
      <c r="I257" s="14">
        <v>22</v>
      </c>
    </row>
    <row r="258" ht="24" customHeight="1" spans="1:9">
      <c r="A258" s="14" t="str">
        <f>"15104011101"</f>
        <v>15104011101</v>
      </c>
      <c r="B258" s="15" t="s">
        <v>15</v>
      </c>
      <c r="C258" s="14" t="s">
        <v>11</v>
      </c>
      <c r="D258" s="16">
        <v>56.77</v>
      </c>
      <c r="E258" s="16">
        <f t="shared" si="6"/>
        <v>34.062</v>
      </c>
      <c r="F258" s="14"/>
      <c r="G258" s="14"/>
      <c r="H258" s="16">
        <f t="shared" si="7"/>
        <v>34.062</v>
      </c>
      <c r="I258" s="14">
        <v>23</v>
      </c>
    </row>
    <row r="259" ht="24" customHeight="1" spans="1:9">
      <c r="A259" s="14" t="str">
        <f>"15104011102"</f>
        <v>15104011102</v>
      </c>
      <c r="B259" s="15" t="s">
        <v>15</v>
      </c>
      <c r="C259" s="14" t="s">
        <v>11</v>
      </c>
      <c r="D259" s="16">
        <v>56.48</v>
      </c>
      <c r="E259" s="16">
        <f t="shared" ref="E259:E322" si="8">D259*0.6</f>
        <v>33.888</v>
      </c>
      <c r="F259" s="14"/>
      <c r="G259" s="14"/>
      <c r="H259" s="16">
        <f t="shared" ref="H259:H322" si="9">SUM(E259:G259)</f>
        <v>33.888</v>
      </c>
      <c r="I259" s="14">
        <v>24</v>
      </c>
    </row>
    <row r="260" ht="24" customHeight="1" spans="1:9">
      <c r="A260" s="14" t="str">
        <f>"15104011108"</f>
        <v>15104011108</v>
      </c>
      <c r="B260" s="15" t="s">
        <v>15</v>
      </c>
      <c r="C260" s="14" t="s">
        <v>11</v>
      </c>
      <c r="D260" s="16">
        <v>56.41</v>
      </c>
      <c r="E260" s="16">
        <f t="shared" si="8"/>
        <v>33.846</v>
      </c>
      <c r="F260" s="14"/>
      <c r="G260" s="14"/>
      <c r="H260" s="16">
        <f t="shared" si="9"/>
        <v>33.846</v>
      </c>
      <c r="I260" s="14">
        <v>25</v>
      </c>
    </row>
    <row r="261" ht="24" customHeight="1" spans="1:9">
      <c r="A261" s="14" t="str">
        <f>"15104011026"</f>
        <v>15104011026</v>
      </c>
      <c r="B261" s="15" t="s">
        <v>15</v>
      </c>
      <c r="C261" s="14" t="s">
        <v>11</v>
      </c>
      <c r="D261" s="16">
        <v>55.71</v>
      </c>
      <c r="E261" s="16">
        <f t="shared" si="8"/>
        <v>33.426</v>
      </c>
      <c r="F261" s="14"/>
      <c r="G261" s="14"/>
      <c r="H261" s="16">
        <f t="shared" si="9"/>
        <v>33.426</v>
      </c>
      <c r="I261" s="14">
        <v>26</v>
      </c>
    </row>
    <row r="262" ht="24" customHeight="1" spans="1:9">
      <c r="A262" s="14" t="str">
        <f>"15104011110"</f>
        <v>15104011110</v>
      </c>
      <c r="B262" s="15" t="s">
        <v>15</v>
      </c>
      <c r="C262" s="14" t="s">
        <v>11</v>
      </c>
      <c r="D262" s="16">
        <v>54.76</v>
      </c>
      <c r="E262" s="16">
        <f t="shared" si="8"/>
        <v>32.856</v>
      </c>
      <c r="F262" s="14"/>
      <c r="G262" s="14"/>
      <c r="H262" s="16">
        <f t="shared" si="9"/>
        <v>32.856</v>
      </c>
      <c r="I262" s="14">
        <v>27</v>
      </c>
    </row>
    <row r="263" ht="24" customHeight="1" spans="1:9">
      <c r="A263" s="14" t="str">
        <f>"15104011125"</f>
        <v>15104011125</v>
      </c>
      <c r="B263" s="15" t="s">
        <v>15</v>
      </c>
      <c r="C263" s="14" t="s">
        <v>11</v>
      </c>
      <c r="D263" s="16">
        <v>53.84</v>
      </c>
      <c r="E263" s="16">
        <f t="shared" si="8"/>
        <v>32.304</v>
      </c>
      <c r="F263" s="14"/>
      <c r="G263" s="14"/>
      <c r="H263" s="16">
        <f t="shared" si="9"/>
        <v>32.304</v>
      </c>
      <c r="I263" s="14">
        <v>28</v>
      </c>
    </row>
    <row r="264" ht="24" customHeight="1" spans="1:9">
      <c r="A264" s="14" t="str">
        <f>"15104011028"</f>
        <v>15104011028</v>
      </c>
      <c r="B264" s="15" t="s">
        <v>15</v>
      </c>
      <c r="C264" s="14" t="s">
        <v>11</v>
      </c>
      <c r="D264" s="16">
        <v>52.77</v>
      </c>
      <c r="E264" s="16">
        <f t="shared" si="8"/>
        <v>31.662</v>
      </c>
      <c r="F264" s="14"/>
      <c r="G264" s="14"/>
      <c r="H264" s="16">
        <f t="shared" si="9"/>
        <v>31.662</v>
      </c>
      <c r="I264" s="14">
        <v>29</v>
      </c>
    </row>
    <row r="265" ht="24" customHeight="1" spans="1:9">
      <c r="A265" s="14" t="str">
        <f>"15104011104"</f>
        <v>15104011104</v>
      </c>
      <c r="B265" s="15" t="s">
        <v>15</v>
      </c>
      <c r="C265" s="14" t="s">
        <v>11</v>
      </c>
      <c r="D265" s="16">
        <v>51.84</v>
      </c>
      <c r="E265" s="16">
        <f t="shared" si="8"/>
        <v>31.104</v>
      </c>
      <c r="F265" s="14"/>
      <c r="G265" s="14"/>
      <c r="H265" s="16">
        <f t="shared" si="9"/>
        <v>31.104</v>
      </c>
      <c r="I265" s="14">
        <v>30</v>
      </c>
    </row>
    <row r="266" ht="24" customHeight="1" spans="1:9">
      <c r="A266" s="14" t="str">
        <f>"15104011022"</f>
        <v>15104011022</v>
      </c>
      <c r="B266" s="15" t="s">
        <v>15</v>
      </c>
      <c r="C266" s="14" t="s">
        <v>11</v>
      </c>
      <c r="D266" s="16">
        <v>49.72</v>
      </c>
      <c r="E266" s="16">
        <f t="shared" si="8"/>
        <v>29.832</v>
      </c>
      <c r="F266" s="14"/>
      <c r="G266" s="14"/>
      <c r="H266" s="16">
        <f t="shared" si="9"/>
        <v>29.832</v>
      </c>
      <c r="I266" s="14">
        <v>31</v>
      </c>
    </row>
    <row r="267" ht="24" customHeight="1" spans="1:9">
      <c r="A267" s="14" t="str">
        <f>"15104011116"</f>
        <v>15104011116</v>
      </c>
      <c r="B267" s="15" t="s">
        <v>15</v>
      </c>
      <c r="C267" s="14" t="s">
        <v>11</v>
      </c>
      <c r="D267" s="16">
        <v>46.9</v>
      </c>
      <c r="E267" s="16">
        <f t="shared" si="8"/>
        <v>28.14</v>
      </c>
      <c r="F267" s="14"/>
      <c r="G267" s="14"/>
      <c r="H267" s="16">
        <f t="shared" si="9"/>
        <v>28.14</v>
      </c>
      <c r="I267" s="14">
        <v>32</v>
      </c>
    </row>
    <row r="268" ht="24" customHeight="1" spans="1:9">
      <c r="A268" s="14" t="str">
        <f>"15104011124"</f>
        <v>15104011124</v>
      </c>
      <c r="B268" s="15" t="s">
        <v>15</v>
      </c>
      <c r="C268" s="14" t="s">
        <v>11</v>
      </c>
      <c r="D268" s="16">
        <v>41.84</v>
      </c>
      <c r="E268" s="16">
        <f t="shared" si="8"/>
        <v>25.104</v>
      </c>
      <c r="F268" s="14"/>
      <c r="G268" s="14"/>
      <c r="H268" s="16">
        <f t="shared" si="9"/>
        <v>25.104</v>
      </c>
      <c r="I268" s="14">
        <v>33</v>
      </c>
    </row>
    <row r="269" ht="24" customHeight="1" spans="1:9">
      <c r="A269" s="14" t="str">
        <f>"15104011029"</f>
        <v>15104011029</v>
      </c>
      <c r="B269" s="15" t="s">
        <v>15</v>
      </c>
      <c r="C269" s="14" t="s">
        <v>11</v>
      </c>
      <c r="D269" s="16">
        <v>40.89</v>
      </c>
      <c r="E269" s="16">
        <f t="shared" si="8"/>
        <v>24.534</v>
      </c>
      <c r="F269" s="14"/>
      <c r="G269" s="14"/>
      <c r="H269" s="16">
        <f t="shared" si="9"/>
        <v>24.534</v>
      </c>
      <c r="I269" s="14">
        <v>34</v>
      </c>
    </row>
    <row r="270" ht="24" customHeight="1" spans="1:9">
      <c r="A270" s="14" t="str">
        <f>"15104011024"</f>
        <v>15104011024</v>
      </c>
      <c r="B270" s="15" t="s">
        <v>15</v>
      </c>
      <c r="C270" s="14" t="s">
        <v>12</v>
      </c>
      <c r="D270" s="16">
        <v>-1</v>
      </c>
      <c r="E270" s="16">
        <f t="shared" si="8"/>
        <v>-0.6</v>
      </c>
      <c r="F270" s="14">
        <v>2.5</v>
      </c>
      <c r="G270" s="14"/>
      <c r="H270" s="16">
        <f t="shared" si="9"/>
        <v>1.9</v>
      </c>
      <c r="I270" s="14">
        <v>35</v>
      </c>
    </row>
    <row r="271" ht="24" customHeight="1" spans="1:9">
      <c r="A271" s="14" t="str">
        <f>"15104011107"</f>
        <v>15104011107</v>
      </c>
      <c r="B271" s="15" t="s">
        <v>15</v>
      </c>
      <c r="C271" s="14" t="s">
        <v>11</v>
      </c>
      <c r="D271" s="16">
        <v>-1</v>
      </c>
      <c r="E271" s="16">
        <f t="shared" si="8"/>
        <v>-0.6</v>
      </c>
      <c r="F271" s="14"/>
      <c r="G271" s="14"/>
      <c r="H271" s="16">
        <f t="shared" si="9"/>
        <v>-0.6</v>
      </c>
      <c r="I271" s="14">
        <v>36</v>
      </c>
    </row>
    <row r="272" ht="24" customHeight="1" spans="1:9">
      <c r="A272" s="14" t="str">
        <f>"15104011113"</f>
        <v>15104011113</v>
      </c>
      <c r="B272" s="15" t="s">
        <v>15</v>
      </c>
      <c r="C272" s="14" t="s">
        <v>11</v>
      </c>
      <c r="D272" s="16">
        <v>-1</v>
      </c>
      <c r="E272" s="16">
        <f t="shared" si="8"/>
        <v>-0.6</v>
      </c>
      <c r="F272" s="14"/>
      <c r="G272" s="14"/>
      <c r="H272" s="16">
        <f t="shared" si="9"/>
        <v>-0.6</v>
      </c>
      <c r="I272" s="14">
        <v>37</v>
      </c>
    </row>
    <row r="273" ht="24" customHeight="1" spans="1:9">
      <c r="A273" s="14" t="str">
        <f>"15104011121"</f>
        <v>15104011121</v>
      </c>
      <c r="B273" s="15" t="s">
        <v>15</v>
      </c>
      <c r="C273" s="14" t="s">
        <v>11</v>
      </c>
      <c r="D273" s="16">
        <v>-1</v>
      </c>
      <c r="E273" s="16">
        <f t="shared" si="8"/>
        <v>-0.6</v>
      </c>
      <c r="F273" s="14"/>
      <c r="G273" s="14"/>
      <c r="H273" s="16">
        <f t="shared" si="9"/>
        <v>-0.6</v>
      </c>
      <c r="I273" s="14">
        <v>38</v>
      </c>
    </row>
    <row r="274" ht="24" customHeight="1" spans="1:9">
      <c r="A274" s="14" t="str">
        <f>"15104011126"</f>
        <v>15104011126</v>
      </c>
      <c r="B274" s="15" t="s">
        <v>15</v>
      </c>
      <c r="C274" s="14" t="s">
        <v>11</v>
      </c>
      <c r="D274" s="16">
        <v>-1</v>
      </c>
      <c r="E274" s="16">
        <f t="shared" si="8"/>
        <v>-0.6</v>
      </c>
      <c r="F274" s="14"/>
      <c r="G274" s="14"/>
      <c r="H274" s="16">
        <f t="shared" si="9"/>
        <v>-0.6</v>
      </c>
      <c r="I274" s="14">
        <v>39</v>
      </c>
    </row>
    <row r="275" ht="24" customHeight="1" spans="1:9">
      <c r="A275" s="11" t="str">
        <f>"15105011213"</f>
        <v>15105011213</v>
      </c>
      <c r="B275" s="12" t="s">
        <v>16</v>
      </c>
      <c r="C275" s="11" t="s">
        <v>11</v>
      </c>
      <c r="D275" s="13">
        <v>81.22</v>
      </c>
      <c r="E275" s="13">
        <f t="shared" si="8"/>
        <v>48.732</v>
      </c>
      <c r="F275" s="11"/>
      <c r="G275" s="11"/>
      <c r="H275" s="13">
        <f t="shared" si="9"/>
        <v>48.732</v>
      </c>
      <c r="I275" s="11">
        <v>1</v>
      </c>
    </row>
    <row r="276" ht="24" customHeight="1" spans="1:9">
      <c r="A276" s="11" t="str">
        <f>"15105011205"</f>
        <v>15105011205</v>
      </c>
      <c r="B276" s="12" t="s">
        <v>16</v>
      </c>
      <c r="C276" s="11" t="s">
        <v>11</v>
      </c>
      <c r="D276" s="13">
        <v>80.3</v>
      </c>
      <c r="E276" s="13">
        <f t="shared" si="8"/>
        <v>48.18</v>
      </c>
      <c r="F276" s="11"/>
      <c r="G276" s="11"/>
      <c r="H276" s="13">
        <f t="shared" si="9"/>
        <v>48.18</v>
      </c>
      <c r="I276" s="11">
        <v>2</v>
      </c>
    </row>
    <row r="277" ht="24" customHeight="1" spans="1:9">
      <c r="A277" s="11" t="str">
        <f>"15105011208"</f>
        <v>15105011208</v>
      </c>
      <c r="B277" s="12" t="s">
        <v>16</v>
      </c>
      <c r="C277" s="11" t="s">
        <v>11</v>
      </c>
      <c r="D277" s="13">
        <v>80.28</v>
      </c>
      <c r="E277" s="13">
        <f t="shared" si="8"/>
        <v>48.168</v>
      </c>
      <c r="F277" s="11"/>
      <c r="G277" s="11"/>
      <c r="H277" s="13">
        <f t="shared" si="9"/>
        <v>48.168</v>
      </c>
      <c r="I277" s="11">
        <v>3</v>
      </c>
    </row>
    <row r="278" ht="24" customHeight="1" spans="1:9">
      <c r="A278" s="14" t="str">
        <f>"15105011218"</f>
        <v>15105011218</v>
      </c>
      <c r="B278" s="15" t="s">
        <v>16</v>
      </c>
      <c r="C278" s="14" t="s">
        <v>11</v>
      </c>
      <c r="D278" s="16">
        <v>79.12</v>
      </c>
      <c r="E278" s="16">
        <f t="shared" si="8"/>
        <v>47.472</v>
      </c>
      <c r="F278" s="14"/>
      <c r="G278" s="14"/>
      <c r="H278" s="16">
        <f t="shared" si="9"/>
        <v>47.472</v>
      </c>
      <c r="I278" s="14">
        <v>4</v>
      </c>
    </row>
    <row r="279" ht="24" customHeight="1" spans="1:9">
      <c r="A279" s="14" t="str">
        <f>"15105011215"</f>
        <v>15105011215</v>
      </c>
      <c r="B279" s="15" t="s">
        <v>16</v>
      </c>
      <c r="C279" s="14" t="s">
        <v>11</v>
      </c>
      <c r="D279" s="16">
        <v>78.54</v>
      </c>
      <c r="E279" s="16">
        <f t="shared" si="8"/>
        <v>47.124</v>
      </c>
      <c r="F279" s="14"/>
      <c r="G279" s="14"/>
      <c r="H279" s="16">
        <f t="shared" si="9"/>
        <v>47.124</v>
      </c>
      <c r="I279" s="14">
        <v>5</v>
      </c>
    </row>
    <row r="280" ht="24" customHeight="1" spans="1:9">
      <c r="A280" s="14" t="str">
        <f>"15105011201"</f>
        <v>15105011201</v>
      </c>
      <c r="B280" s="15" t="s">
        <v>16</v>
      </c>
      <c r="C280" s="14" t="s">
        <v>11</v>
      </c>
      <c r="D280" s="16">
        <v>78.38</v>
      </c>
      <c r="E280" s="16">
        <f t="shared" si="8"/>
        <v>47.028</v>
      </c>
      <c r="F280" s="14"/>
      <c r="G280" s="14"/>
      <c r="H280" s="16">
        <f t="shared" si="9"/>
        <v>47.028</v>
      </c>
      <c r="I280" s="14">
        <v>6</v>
      </c>
    </row>
    <row r="281" ht="24" customHeight="1" spans="1:9">
      <c r="A281" s="14" t="str">
        <f>"15105011206"</f>
        <v>15105011206</v>
      </c>
      <c r="B281" s="15" t="s">
        <v>16</v>
      </c>
      <c r="C281" s="14" t="s">
        <v>11</v>
      </c>
      <c r="D281" s="16">
        <v>76.82</v>
      </c>
      <c r="E281" s="16">
        <f t="shared" si="8"/>
        <v>46.092</v>
      </c>
      <c r="F281" s="14"/>
      <c r="G281" s="14"/>
      <c r="H281" s="16">
        <f t="shared" si="9"/>
        <v>46.092</v>
      </c>
      <c r="I281" s="14">
        <v>7</v>
      </c>
    </row>
    <row r="282" ht="24" customHeight="1" spans="1:9">
      <c r="A282" s="14" t="str">
        <f>"15105011216"</f>
        <v>15105011216</v>
      </c>
      <c r="B282" s="15" t="s">
        <v>16</v>
      </c>
      <c r="C282" s="14" t="s">
        <v>11</v>
      </c>
      <c r="D282" s="16">
        <v>74.82</v>
      </c>
      <c r="E282" s="16">
        <f t="shared" si="8"/>
        <v>44.892</v>
      </c>
      <c r="F282" s="14"/>
      <c r="G282" s="14"/>
      <c r="H282" s="16">
        <f t="shared" si="9"/>
        <v>44.892</v>
      </c>
      <c r="I282" s="14">
        <v>8</v>
      </c>
    </row>
    <row r="283" ht="24" customHeight="1" spans="1:9">
      <c r="A283" s="14" t="str">
        <f>"15105011222"</f>
        <v>15105011222</v>
      </c>
      <c r="B283" s="15" t="s">
        <v>16</v>
      </c>
      <c r="C283" s="14" t="s">
        <v>11</v>
      </c>
      <c r="D283" s="16">
        <v>74.4</v>
      </c>
      <c r="E283" s="16">
        <f t="shared" si="8"/>
        <v>44.64</v>
      </c>
      <c r="F283" s="14"/>
      <c r="G283" s="14"/>
      <c r="H283" s="16">
        <f t="shared" si="9"/>
        <v>44.64</v>
      </c>
      <c r="I283" s="14">
        <v>9</v>
      </c>
    </row>
    <row r="284" ht="24" customHeight="1" spans="1:9">
      <c r="A284" s="14" t="str">
        <f>"15105011226"</f>
        <v>15105011226</v>
      </c>
      <c r="B284" s="15" t="s">
        <v>16</v>
      </c>
      <c r="C284" s="14" t="s">
        <v>11</v>
      </c>
      <c r="D284" s="16">
        <v>73.68</v>
      </c>
      <c r="E284" s="16">
        <f t="shared" si="8"/>
        <v>44.208</v>
      </c>
      <c r="F284" s="14"/>
      <c r="G284" s="14"/>
      <c r="H284" s="16">
        <f t="shared" si="9"/>
        <v>44.208</v>
      </c>
      <c r="I284" s="14">
        <v>10</v>
      </c>
    </row>
    <row r="285" ht="24" customHeight="1" spans="1:9">
      <c r="A285" s="14" t="str">
        <f>"15105011212"</f>
        <v>15105011212</v>
      </c>
      <c r="B285" s="15" t="s">
        <v>16</v>
      </c>
      <c r="C285" s="14" t="s">
        <v>11</v>
      </c>
      <c r="D285" s="16">
        <v>72.14</v>
      </c>
      <c r="E285" s="16">
        <f t="shared" si="8"/>
        <v>43.284</v>
      </c>
      <c r="F285" s="14"/>
      <c r="G285" s="14"/>
      <c r="H285" s="16">
        <f t="shared" si="9"/>
        <v>43.284</v>
      </c>
      <c r="I285" s="14">
        <v>11</v>
      </c>
    </row>
    <row r="286" ht="24" customHeight="1" spans="1:9">
      <c r="A286" s="14" t="str">
        <f>"15105011203"</f>
        <v>15105011203</v>
      </c>
      <c r="B286" s="15" t="s">
        <v>16</v>
      </c>
      <c r="C286" s="14" t="s">
        <v>11</v>
      </c>
      <c r="D286" s="16">
        <v>71.78</v>
      </c>
      <c r="E286" s="16">
        <f t="shared" si="8"/>
        <v>43.068</v>
      </c>
      <c r="F286" s="14"/>
      <c r="G286" s="14"/>
      <c r="H286" s="16">
        <f t="shared" si="9"/>
        <v>43.068</v>
      </c>
      <c r="I286" s="14">
        <v>12</v>
      </c>
    </row>
    <row r="287" ht="24" customHeight="1" spans="1:9">
      <c r="A287" s="14" t="str">
        <f>"15105011220"</f>
        <v>15105011220</v>
      </c>
      <c r="B287" s="15" t="s">
        <v>16</v>
      </c>
      <c r="C287" s="14" t="s">
        <v>11</v>
      </c>
      <c r="D287" s="16">
        <v>71.68</v>
      </c>
      <c r="E287" s="16">
        <f t="shared" si="8"/>
        <v>43.008</v>
      </c>
      <c r="F287" s="14"/>
      <c r="G287" s="14"/>
      <c r="H287" s="16">
        <f t="shared" si="9"/>
        <v>43.008</v>
      </c>
      <c r="I287" s="14">
        <v>13</v>
      </c>
    </row>
    <row r="288" ht="24" customHeight="1" spans="1:9">
      <c r="A288" s="14" t="str">
        <f>"15105011202"</f>
        <v>15105011202</v>
      </c>
      <c r="B288" s="15" t="s">
        <v>16</v>
      </c>
      <c r="C288" s="14" t="s">
        <v>11</v>
      </c>
      <c r="D288" s="16">
        <v>71.36</v>
      </c>
      <c r="E288" s="16">
        <f t="shared" si="8"/>
        <v>42.816</v>
      </c>
      <c r="F288" s="14"/>
      <c r="G288" s="14"/>
      <c r="H288" s="16">
        <f t="shared" si="9"/>
        <v>42.816</v>
      </c>
      <c r="I288" s="14">
        <v>14</v>
      </c>
    </row>
    <row r="289" ht="24" customHeight="1" spans="1:9">
      <c r="A289" s="14" t="str">
        <f>"15105011219"</f>
        <v>15105011219</v>
      </c>
      <c r="B289" s="15" t="s">
        <v>16</v>
      </c>
      <c r="C289" s="14" t="s">
        <v>11</v>
      </c>
      <c r="D289" s="16">
        <v>71.36</v>
      </c>
      <c r="E289" s="16">
        <f t="shared" si="8"/>
        <v>42.816</v>
      </c>
      <c r="F289" s="14"/>
      <c r="G289" s="14"/>
      <c r="H289" s="16">
        <f t="shared" si="9"/>
        <v>42.816</v>
      </c>
      <c r="I289" s="14">
        <v>15</v>
      </c>
    </row>
    <row r="290" ht="24" customHeight="1" spans="1:9">
      <c r="A290" s="14" t="str">
        <f>"15105011221"</f>
        <v>15105011221</v>
      </c>
      <c r="B290" s="15" t="s">
        <v>16</v>
      </c>
      <c r="C290" s="14" t="s">
        <v>11</v>
      </c>
      <c r="D290" s="16">
        <v>70.64</v>
      </c>
      <c r="E290" s="16">
        <f t="shared" si="8"/>
        <v>42.384</v>
      </c>
      <c r="F290" s="14"/>
      <c r="G290" s="14"/>
      <c r="H290" s="16">
        <f t="shared" si="9"/>
        <v>42.384</v>
      </c>
      <c r="I290" s="14">
        <v>16</v>
      </c>
    </row>
    <row r="291" ht="24" customHeight="1" spans="1:9">
      <c r="A291" s="14" t="str">
        <f>"15105011223"</f>
        <v>15105011223</v>
      </c>
      <c r="B291" s="15" t="s">
        <v>16</v>
      </c>
      <c r="C291" s="14" t="s">
        <v>11</v>
      </c>
      <c r="D291" s="16">
        <v>69.76</v>
      </c>
      <c r="E291" s="16">
        <f t="shared" si="8"/>
        <v>41.856</v>
      </c>
      <c r="F291" s="14"/>
      <c r="G291" s="14"/>
      <c r="H291" s="16">
        <f t="shared" si="9"/>
        <v>41.856</v>
      </c>
      <c r="I291" s="14">
        <v>17</v>
      </c>
    </row>
    <row r="292" ht="24" customHeight="1" spans="1:9">
      <c r="A292" s="14" t="str">
        <f>"15105011214"</f>
        <v>15105011214</v>
      </c>
      <c r="B292" s="15" t="s">
        <v>16</v>
      </c>
      <c r="C292" s="14" t="s">
        <v>11</v>
      </c>
      <c r="D292" s="16">
        <v>69.54</v>
      </c>
      <c r="E292" s="16">
        <f t="shared" si="8"/>
        <v>41.724</v>
      </c>
      <c r="F292" s="14"/>
      <c r="G292" s="14"/>
      <c r="H292" s="16">
        <f t="shared" si="9"/>
        <v>41.724</v>
      </c>
      <c r="I292" s="14">
        <v>18</v>
      </c>
    </row>
    <row r="293" ht="24" customHeight="1" spans="1:9">
      <c r="A293" s="14" t="str">
        <f>"15105011207"</f>
        <v>15105011207</v>
      </c>
      <c r="B293" s="15" t="s">
        <v>16</v>
      </c>
      <c r="C293" s="14" t="s">
        <v>11</v>
      </c>
      <c r="D293" s="16">
        <v>69.28</v>
      </c>
      <c r="E293" s="16">
        <f t="shared" si="8"/>
        <v>41.568</v>
      </c>
      <c r="F293" s="14"/>
      <c r="G293" s="14"/>
      <c r="H293" s="16">
        <f t="shared" si="9"/>
        <v>41.568</v>
      </c>
      <c r="I293" s="14">
        <v>19</v>
      </c>
    </row>
    <row r="294" ht="24" customHeight="1" spans="1:9">
      <c r="A294" s="14" t="str">
        <f>"15105011204"</f>
        <v>15105011204</v>
      </c>
      <c r="B294" s="15" t="s">
        <v>16</v>
      </c>
      <c r="C294" s="14" t="s">
        <v>11</v>
      </c>
      <c r="D294" s="16">
        <v>57.7</v>
      </c>
      <c r="E294" s="16">
        <f t="shared" si="8"/>
        <v>34.62</v>
      </c>
      <c r="F294" s="14"/>
      <c r="G294" s="14"/>
      <c r="H294" s="16">
        <f t="shared" si="9"/>
        <v>34.62</v>
      </c>
      <c r="I294" s="14">
        <v>20</v>
      </c>
    </row>
    <row r="295" ht="24" customHeight="1" spans="1:9">
      <c r="A295" s="14" t="str">
        <f>"15105011225"</f>
        <v>15105011225</v>
      </c>
      <c r="B295" s="15" t="s">
        <v>16</v>
      </c>
      <c r="C295" s="14" t="s">
        <v>11</v>
      </c>
      <c r="D295" s="16">
        <v>54.6</v>
      </c>
      <c r="E295" s="16">
        <f t="shared" si="8"/>
        <v>32.76</v>
      </c>
      <c r="F295" s="14"/>
      <c r="G295" s="14"/>
      <c r="H295" s="16">
        <f t="shared" si="9"/>
        <v>32.76</v>
      </c>
      <c r="I295" s="14">
        <v>21</v>
      </c>
    </row>
    <row r="296" ht="24" customHeight="1" spans="1:9">
      <c r="A296" s="14" t="str">
        <f>"15105011211"</f>
        <v>15105011211</v>
      </c>
      <c r="B296" s="15" t="s">
        <v>16</v>
      </c>
      <c r="C296" s="14" t="s">
        <v>11</v>
      </c>
      <c r="D296" s="16">
        <v>53.44</v>
      </c>
      <c r="E296" s="16">
        <f t="shared" si="8"/>
        <v>32.064</v>
      </c>
      <c r="F296" s="14"/>
      <c r="G296" s="14"/>
      <c r="H296" s="16">
        <f t="shared" si="9"/>
        <v>32.064</v>
      </c>
      <c r="I296" s="14">
        <v>22</v>
      </c>
    </row>
    <row r="297" ht="24" customHeight="1" spans="1:9">
      <c r="A297" s="14" t="str">
        <f>"15105011209"</f>
        <v>15105011209</v>
      </c>
      <c r="B297" s="15" t="s">
        <v>16</v>
      </c>
      <c r="C297" s="14" t="s">
        <v>11</v>
      </c>
      <c r="D297" s="16">
        <v>-1</v>
      </c>
      <c r="E297" s="16">
        <f t="shared" si="8"/>
        <v>-0.6</v>
      </c>
      <c r="F297" s="14"/>
      <c r="G297" s="14"/>
      <c r="H297" s="16">
        <f t="shared" si="9"/>
        <v>-0.6</v>
      </c>
      <c r="I297" s="14">
        <v>23</v>
      </c>
    </row>
    <row r="298" ht="24" customHeight="1" spans="1:9">
      <c r="A298" s="14" t="str">
        <f>"15105011210"</f>
        <v>15105011210</v>
      </c>
      <c r="B298" s="15" t="s">
        <v>16</v>
      </c>
      <c r="C298" s="14" t="s">
        <v>11</v>
      </c>
      <c r="D298" s="16">
        <v>-1</v>
      </c>
      <c r="E298" s="16">
        <f t="shared" si="8"/>
        <v>-0.6</v>
      </c>
      <c r="F298" s="14"/>
      <c r="G298" s="14"/>
      <c r="H298" s="16">
        <f t="shared" si="9"/>
        <v>-0.6</v>
      </c>
      <c r="I298" s="14">
        <v>24</v>
      </c>
    </row>
    <row r="299" ht="24" customHeight="1" spans="1:9">
      <c r="A299" s="14" t="str">
        <f>"15105011217"</f>
        <v>15105011217</v>
      </c>
      <c r="B299" s="15" t="s">
        <v>16</v>
      </c>
      <c r="C299" s="14" t="s">
        <v>11</v>
      </c>
      <c r="D299" s="16">
        <v>-1</v>
      </c>
      <c r="E299" s="16">
        <f t="shared" si="8"/>
        <v>-0.6</v>
      </c>
      <c r="F299" s="14"/>
      <c r="G299" s="14"/>
      <c r="H299" s="16">
        <f t="shared" si="9"/>
        <v>-0.6</v>
      </c>
      <c r="I299" s="14">
        <v>25</v>
      </c>
    </row>
    <row r="300" ht="24" customHeight="1" spans="1:9">
      <c r="A300" s="14" t="str">
        <f>"15105011224"</f>
        <v>15105011224</v>
      </c>
      <c r="B300" s="15" t="s">
        <v>16</v>
      </c>
      <c r="C300" s="14" t="s">
        <v>11</v>
      </c>
      <c r="D300" s="16">
        <v>-1</v>
      </c>
      <c r="E300" s="16">
        <f t="shared" si="8"/>
        <v>-0.6</v>
      </c>
      <c r="F300" s="14"/>
      <c r="G300" s="14"/>
      <c r="H300" s="16">
        <f t="shared" si="9"/>
        <v>-0.6</v>
      </c>
      <c r="I300" s="14">
        <v>26</v>
      </c>
    </row>
    <row r="301" ht="24" customHeight="1" spans="1:9">
      <c r="A301" s="14" t="str">
        <f>"15105011227"</f>
        <v>15105011227</v>
      </c>
      <c r="B301" s="15" t="s">
        <v>16</v>
      </c>
      <c r="C301" s="14" t="s">
        <v>11</v>
      </c>
      <c r="D301" s="16">
        <v>-1</v>
      </c>
      <c r="E301" s="16">
        <f t="shared" si="8"/>
        <v>-0.6</v>
      </c>
      <c r="F301" s="14"/>
      <c r="G301" s="14"/>
      <c r="H301" s="16">
        <f t="shared" si="9"/>
        <v>-0.6</v>
      </c>
      <c r="I301" s="14">
        <v>27</v>
      </c>
    </row>
    <row r="302" ht="24" customHeight="1" spans="1:9">
      <c r="A302" s="11" t="str">
        <f>"15106011408"</f>
        <v>15106011408</v>
      </c>
      <c r="B302" s="12" t="s">
        <v>17</v>
      </c>
      <c r="C302" s="11" t="s">
        <v>11</v>
      </c>
      <c r="D302" s="13">
        <v>86.26</v>
      </c>
      <c r="E302" s="13">
        <f t="shared" si="8"/>
        <v>51.756</v>
      </c>
      <c r="F302" s="11"/>
      <c r="G302" s="11"/>
      <c r="H302" s="13">
        <f t="shared" si="9"/>
        <v>51.756</v>
      </c>
      <c r="I302" s="11">
        <v>1</v>
      </c>
    </row>
    <row r="303" ht="24" customHeight="1" spans="1:9">
      <c r="A303" s="11" t="str">
        <f>"15106011611"</f>
        <v>15106011611</v>
      </c>
      <c r="B303" s="12" t="s">
        <v>17</v>
      </c>
      <c r="C303" s="11" t="s">
        <v>12</v>
      </c>
      <c r="D303" s="13">
        <v>79.5</v>
      </c>
      <c r="E303" s="13">
        <f t="shared" si="8"/>
        <v>47.7</v>
      </c>
      <c r="F303" s="11">
        <v>2.5</v>
      </c>
      <c r="G303" s="11"/>
      <c r="H303" s="13">
        <f t="shared" si="9"/>
        <v>50.2</v>
      </c>
      <c r="I303" s="11">
        <v>2</v>
      </c>
    </row>
    <row r="304" ht="24" customHeight="1" spans="1:9">
      <c r="A304" s="11" t="str">
        <f>"15106011422"</f>
        <v>15106011422</v>
      </c>
      <c r="B304" s="12" t="s">
        <v>17</v>
      </c>
      <c r="C304" s="11" t="s">
        <v>11</v>
      </c>
      <c r="D304" s="13">
        <v>83</v>
      </c>
      <c r="E304" s="13">
        <f t="shared" si="8"/>
        <v>49.8</v>
      </c>
      <c r="F304" s="11"/>
      <c r="G304" s="11"/>
      <c r="H304" s="13">
        <f t="shared" si="9"/>
        <v>49.8</v>
      </c>
      <c r="I304" s="11">
        <v>3</v>
      </c>
    </row>
    <row r="305" ht="24" customHeight="1" spans="1:9">
      <c r="A305" s="11" t="str">
        <f>"15106011513"</f>
        <v>15106011513</v>
      </c>
      <c r="B305" s="12" t="s">
        <v>17</v>
      </c>
      <c r="C305" s="11" t="s">
        <v>11</v>
      </c>
      <c r="D305" s="13">
        <v>82.14</v>
      </c>
      <c r="E305" s="13">
        <f t="shared" si="8"/>
        <v>49.284</v>
      </c>
      <c r="F305" s="11"/>
      <c r="G305" s="11"/>
      <c r="H305" s="13">
        <f t="shared" si="9"/>
        <v>49.284</v>
      </c>
      <c r="I305" s="11">
        <v>4</v>
      </c>
    </row>
    <row r="306" ht="24" customHeight="1" spans="1:9">
      <c r="A306" s="11" t="str">
        <f>"15106011420"</f>
        <v>15106011420</v>
      </c>
      <c r="B306" s="12" t="s">
        <v>17</v>
      </c>
      <c r="C306" s="11" t="s">
        <v>11</v>
      </c>
      <c r="D306" s="13">
        <v>81.9</v>
      </c>
      <c r="E306" s="13">
        <f t="shared" si="8"/>
        <v>49.14</v>
      </c>
      <c r="F306" s="11"/>
      <c r="G306" s="11"/>
      <c r="H306" s="13">
        <f t="shared" si="9"/>
        <v>49.14</v>
      </c>
      <c r="I306" s="11">
        <v>5</v>
      </c>
    </row>
    <row r="307" ht="24" customHeight="1" spans="1:9">
      <c r="A307" s="11" t="str">
        <f>"15106011425"</f>
        <v>15106011425</v>
      </c>
      <c r="B307" s="12" t="s">
        <v>17</v>
      </c>
      <c r="C307" s="11" t="s">
        <v>11</v>
      </c>
      <c r="D307" s="13">
        <v>80.1</v>
      </c>
      <c r="E307" s="13">
        <f t="shared" si="8"/>
        <v>48.06</v>
      </c>
      <c r="F307" s="11"/>
      <c r="G307" s="11"/>
      <c r="H307" s="13">
        <f t="shared" si="9"/>
        <v>48.06</v>
      </c>
      <c r="I307" s="11">
        <v>6</v>
      </c>
    </row>
    <row r="308" ht="24" customHeight="1" spans="1:9">
      <c r="A308" s="14" t="str">
        <f>"15106011521"</f>
        <v>15106011521</v>
      </c>
      <c r="B308" s="15" t="s">
        <v>17</v>
      </c>
      <c r="C308" s="14" t="s">
        <v>11</v>
      </c>
      <c r="D308" s="16">
        <v>79.34</v>
      </c>
      <c r="E308" s="16">
        <f t="shared" si="8"/>
        <v>47.604</v>
      </c>
      <c r="F308" s="14"/>
      <c r="G308" s="14"/>
      <c r="H308" s="16">
        <f t="shared" si="9"/>
        <v>47.604</v>
      </c>
      <c r="I308" s="14">
        <v>7</v>
      </c>
    </row>
    <row r="309" ht="24" customHeight="1" spans="1:9">
      <c r="A309" s="14" t="str">
        <f>"15106011612"</f>
        <v>15106011612</v>
      </c>
      <c r="B309" s="15" t="s">
        <v>17</v>
      </c>
      <c r="C309" s="14" t="s">
        <v>11</v>
      </c>
      <c r="D309" s="16">
        <v>78.46</v>
      </c>
      <c r="E309" s="16">
        <f t="shared" si="8"/>
        <v>47.076</v>
      </c>
      <c r="F309" s="14"/>
      <c r="G309" s="14"/>
      <c r="H309" s="16">
        <f t="shared" si="9"/>
        <v>47.076</v>
      </c>
      <c r="I309" s="14">
        <v>8</v>
      </c>
    </row>
    <row r="310" ht="24" customHeight="1" spans="1:9">
      <c r="A310" s="14" t="str">
        <f>"15106011505"</f>
        <v>15106011505</v>
      </c>
      <c r="B310" s="15" t="s">
        <v>17</v>
      </c>
      <c r="C310" s="14" t="s">
        <v>11</v>
      </c>
      <c r="D310" s="16">
        <v>78.44</v>
      </c>
      <c r="E310" s="16">
        <f t="shared" si="8"/>
        <v>47.064</v>
      </c>
      <c r="F310" s="14"/>
      <c r="G310" s="14"/>
      <c r="H310" s="16">
        <f t="shared" si="9"/>
        <v>47.064</v>
      </c>
      <c r="I310" s="14">
        <v>9</v>
      </c>
    </row>
    <row r="311" ht="24" customHeight="1" spans="1:9">
      <c r="A311" s="14" t="str">
        <f>"15106011404"</f>
        <v>15106011404</v>
      </c>
      <c r="B311" s="15" t="s">
        <v>17</v>
      </c>
      <c r="C311" s="14" t="s">
        <v>11</v>
      </c>
      <c r="D311" s="16">
        <v>78.38</v>
      </c>
      <c r="E311" s="16">
        <f t="shared" si="8"/>
        <v>47.028</v>
      </c>
      <c r="F311" s="14"/>
      <c r="G311" s="14"/>
      <c r="H311" s="16">
        <f t="shared" si="9"/>
        <v>47.028</v>
      </c>
      <c r="I311" s="14">
        <v>10</v>
      </c>
    </row>
    <row r="312" ht="24" customHeight="1" spans="1:9">
      <c r="A312" s="14" t="str">
        <f>"15106011509"</f>
        <v>15106011509</v>
      </c>
      <c r="B312" s="15" t="s">
        <v>17</v>
      </c>
      <c r="C312" s="14" t="s">
        <v>11</v>
      </c>
      <c r="D312" s="16">
        <v>78.32</v>
      </c>
      <c r="E312" s="16">
        <f t="shared" si="8"/>
        <v>46.992</v>
      </c>
      <c r="F312" s="14"/>
      <c r="G312" s="14"/>
      <c r="H312" s="16">
        <f t="shared" si="9"/>
        <v>46.992</v>
      </c>
      <c r="I312" s="14">
        <v>11</v>
      </c>
    </row>
    <row r="313" ht="24" customHeight="1" spans="1:9">
      <c r="A313" s="14" t="str">
        <f>"15106011610"</f>
        <v>15106011610</v>
      </c>
      <c r="B313" s="15" t="s">
        <v>17</v>
      </c>
      <c r="C313" s="14" t="s">
        <v>11</v>
      </c>
      <c r="D313" s="16">
        <v>77.82</v>
      </c>
      <c r="E313" s="16">
        <f t="shared" si="8"/>
        <v>46.692</v>
      </c>
      <c r="F313" s="14"/>
      <c r="G313" s="14"/>
      <c r="H313" s="16">
        <f t="shared" si="9"/>
        <v>46.692</v>
      </c>
      <c r="I313" s="14">
        <v>12</v>
      </c>
    </row>
    <row r="314" ht="24" customHeight="1" spans="1:9">
      <c r="A314" s="14" t="str">
        <f>"15106011321"</f>
        <v>15106011321</v>
      </c>
      <c r="B314" s="15" t="s">
        <v>17</v>
      </c>
      <c r="C314" s="14" t="s">
        <v>12</v>
      </c>
      <c r="D314" s="16">
        <v>73.16</v>
      </c>
      <c r="E314" s="16">
        <f t="shared" si="8"/>
        <v>43.896</v>
      </c>
      <c r="F314" s="14">
        <v>2.5</v>
      </c>
      <c r="G314" s="14"/>
      <c r="H314" s="16">
        <f t="shared" si="9"/>
        <v>46.396</v>
      </c>
      <c r="I314" s="14">
        <v>13</v>
      </c>
    </row>
    <row r="315" ht="24" customHeight="1" spans="1:9">
      <c r="A315" s="14" t="str">
        <f>"15106011318"</f>
        <v>15106011318</v>
      </c>
      <c r="B315" s="15" t="s">
        <v>17</v>
      </c>
      <c r="C315" s="14" t="s">
        <v>11</v>
      </c>
      <c r="D315" s="16">
        <v>76.98</v>
      </c>
      <c r="E315" s="16">
        <f t="shared" si="8"/>
        <v>46.188</v>
      </c>
      <c r="F315" s="14"/>
      <c r="G315" s="14"/>
      <c r="H315" s="16">
        <f t="shared" si="9"/>
        <v>46.188</v>
      </c>
      <c r="I315" s="14">
        <v>14</v>
      </c>
    </row>
    <row r="316" ht="24" customHeight="1" spans="1:9">
      <c r="A316" s="14" t="str">
        <f>"15106011602"</f>
        <v>15106011602</v>
      </c>
      <c r="B316" s="15" t="s">
        <v>17</v>
      </c>
      <c r="C316" s="14" t="s">
        <v>11</v>
      </c>
      <c r="D316" s="16">
        <v>76.86</v>
      </c>
      <c r="E316" s="16">
        <f t="shared" si="8"/>
        <v>46.116</v>
      </c>
      <c r="F316" s="14"/>
      <c r="G316" s="14"/>
      <c r="H316" s="16">
        <f t="shared" si="9"/>
        <v>46.116</v>
      </c>
      <c r="I316" s="14">
        <v>15</v>
      </c>
    </row>
    <row r="317" ht="24" customHeight="1" spans="1:9">
      <c r="A317" s="14" t="str">
        <f>"15106011322"</f>
        <v>15106011322</v>
      </c>
      <c r="B317" s="15" t="s">
        <v>17</v>
      </c>
      <c r="C317" s="14" t="s">
        <v>11</v>
      </c>
      <c r="D317" s="16">
        <v>76.8</v>
      </c>
      <c r="E317" s="16">
        <f t="shared" si="8"/>
        <v>46.08</v>
      </c>
      <c r="F317" s="14"/>
      <c r="G317" s="14"/>
      <c r="H317" s="16">
        <f t="shared" si="9"/>
        <v>46.08</v>
      </c>
      <c r="I317" s="14">
        <v>16</v>
      </c>
    </row>
    <row r="318" ht="24" customHeight="1" spans="1:9">
      <c r="A318" s="14" t="str">
        <f>"15106011503"</f>
        <v>15106011503</v>
      </c>
      <c r="B318" s="15" t="s">
        <v>17</v>
      </c>
      <c r="C318" s="14" t="s">
        <v>11</v>
      </c>
      <c r="D318" s="16">
        <v>76.6</v>
      </c>
      <c r="E318" s="16">
        <f t="shared" si="8"/>
        <v>45.96</v>
      </c>
      <c r="F318" s="14"/>
      <c r="G318" s="14"/>
      <c r="H318" s="16">
        <f t="shared" si="9"/>
        <v>45.96</v>
      </c>
      <c r="I318" s="14">
        <v>17</v>
      </c>
    </row>
    <row r="319" ht="24" customHeight="1" spans="1:9">
      <c r="A319" s="14" t="str">
        <f>"15106011520"</f>
        <v>15106011520</v>
      </c>
      <c r="B319" s="15" t="s">
        <v>17</v>
      </c>
      <c r="C319" s="14" t="s">
        <v>11</v>
      </c>
      <c r="D319" s="16">
        <v>76.48</v>
      </c>
      <c r="E319" s="16">
        <f t="shared" si="8"/>
        <v>45.888</v>
      </c>
      <c r="F319" s="14"/>
      <c r="G319" s="14"/>
      <c r="H319" s="16">
        <f t="shared" si="9"/>
        <v>45.888</v>
      </c>
      <c r="I319" s="14">
        <v>18</v>
      </c>
    </row>
    <row r="320" ht="24" customHeight="1" spans="1:9">
      <c r="A320" s="14" t="str">
        <f>"15106011526"</f>
        <v>15106011526</v>
      </c>
      <c r="B320" s="15" t="s">
        <v>17</v>
      </c>
      <c r="C320" s="14" t="s">
        <v>11</v>
      </c>
      <c r="D320" s="16">
        <v>76.48</v>
      </c>
      <c r="E320" s="16">
        <f t="shared" si="8"/>
        <v>45.888</v>
      </c>
      <c r="F320" s="14"/>
      <c r="G320" s="14"/>
      <c r="H320" s="16">
        <f t="shared" si="9"/>
        <v>45.888</v>
      </c>
      <c r="I320" s="14">
        <v>19</v>
      </c>
    </row>
    <row r="321" ht="24" customHeight="1" spans="1:9">
      <c r="A321" s="14" t="str">
        <f>"15106011511"</f>
        <v>15106011511</v>
      </c>
      <c r="B321" s="15" t="s">
        <v>17</v>
      </c>
      <c r="C321" s="14" t="s">
        <v>11</v>
      </c>
      <c r="D321" s="16">
        <v>75.84</v>
      </c>
      <c r="E321" s="16">
        <f t="shared" si="8"/>
        <v>45.504</v>
      </c>
      <c r="F321" s="14"/>
      <c r="G321" s="14"/>
      <c r="H321" s="16">
        <f t="shared" si="9"/>
        <v>45.504</v>
      </c>
      <c r="I321" s="14">
        <v>20</v>
      </c>
    </row>
    <row r="322" ht="24" customHeight="1" spans="1:9">
      <c r="A322" s="14" t="str">
        <f>"15106011527"</f>
        <v>15106011527</v>
      </c>
      <c r="B322" s="15" t="s">
        <v>17</v>
      </c>
      <c r="C322" s="14" t="s">
        <v>11</v>
      </c>
      <c r="D322" s="16">
        <v>75.84</v>
      </c>
      <c r="E322" s="16">
        <f t="shared" si="8"/>
        <v>45.504</v>
      </c>
      <c r="F322" s="14"/>
      <c r="G322" s="14"/>
      <c r="H322" s="16">
        <f t="shared" si="9"/>
        <v>45.504</v>
      </c>
      <c r="I322" s="14">
        <v>21</v>
      </c>
    </row>
    <row r="323" ht="24" customHeight="1" spans="1:9">
      <c r="A323" s="14" t="str">
        <f>"15106011418"</f>
        <v>15106011418</v>
      </c>
      <c r="B323" s="15" t="s">
        <v>17</v>
      </c>
      <c r="C323" s="14" t="s">
        <v>11</v>
      </c>
      <c r="D323" s="16">
        <v>75.58</v>
      </c>
      <c r="E323" s="16">
        <f t="shared" ref="E323:E386" si="10">D323*0.6</f>
        <v>45.348</v>
      </c>
      <c r="F323" s="14"/>
      <c r="G323" s="14"/>
      <c r="H323" s="16">
        <f t="shared" ref="H323:H386" si="11">SUM(E323:G323)</f>
        <v>45.348</v>
      </c>
      <c r="I323" s="14">
        <v>22</v>
      </c>
    </row>
    <row r="324" ht="24" customHeight="1" spans="1:9">
      <c r="A324" s="14" t="str">
        <f>"15106011409"</f>
        <v>15106011409</v>
      </c>
      <c r="B324" s="15" t="s">
        <v>17</v>
      </c>
      <c r="C324" s="14" t="s">
        <v>11</v>
      </c>
      <c r="D324" s="16">
        <v>75.54</v>
      </c>
      <c r="E324" s="16">
        <f t="shared" si="10"/>
        <v>45.324</v>
      </c>
      <c r="F324" s="14"/>
      <c r="G324" s="14"/>
      <c r="H324" s="16">
        <f t="shared" si="11"/>
        <v>45.324</v>
      </c>
      <c r="I324" s="14">
        <v>23</v>
      </c>
    </row>
    <row r="325" ht="24" customHeight="1" spans="1:9">
      <c r="A325" s="14" t="str">
        <f>"15106011405"</f>
        <v>15106011405</v>
      </c>
      <c r="B325" s="15" t="s">
        <v>17</v>
      </c>
      <c r="C325" s="14" t="s">
        <v>11</v>
      </c>
      <c r="D325" s="16">
        <v>75.06</v>
      </c>
      <c r="E325" s="16">
        <f t="shared" si="10"/>
        <v>45.036</v>
      </c>
      <c r="F325" s="14"/>
      <c r="G325" s="14"/>
      <c r="H325" s="16">
        <f t="shared" si="11"/>
        <v>45.036</v>
      </c>
      <c r="I325" s="14">
        <v>24</v>
      </c>
    </row>
    <row r="326" ht="24" customHeight="1" spans="1:9">
      <c r="A326" s="14" t="str">
        <f>"15106011516"</f>
        <v>15106011516</v>
      </c>
      <c r="B326" s="15" t="s">
        <v>17</v>
      </c>
      <c r="C326" s="14" t="s">
        <v>11</v>
      </c>
      <c r="D326" s="16">
        <v>75.02</v>
      </c>
      <c r="E326" s="16">
        <f t="shared" si="10"/>
        <v>45.012</v>
      </c>
      <c r="F326" s="14"/>
      <c r="G326" s="14"/>
      <c r="H326" s="16">
        <f t="shared" si="11"/>
        <v>45.012</v>
      </c>
      <c r="I326" s="14">
        <v>25</v>
      </c>
    </row>
    <row r="327" ht="24" customHeight="1" spans="1:9">
      <c r="A327" s="14" t="str">
        <f>"15106011303"</f>
        <v>15106011303</v>
      </c>
      <c r="B327" s="15" t="s">
        <v>17</v>
      </c>
      <c r="C327" s="14" t="s">
        <v>11</v>
      </c>
      <c r="D327" s="16">
        <v>74.84</v>
      </c>
      <c r="E327" s="16">
        <f t="shared" si="10"/>
        <v>44.904</v>
      </c>
      <c r="F327" s="14"/>
      <c r="G327" s="14"/>
      <c r="H327" s="16">
        <f t="shared" si="11"/>
        <v>44.904</v>
      </c>
      <c r="I327" s="14">
        <v>26</v>
      </c>
    </row>
    <row r="328" ht="24" customHeight="1" spans="1:9">
      <c r="A328" s="14" t="str">
        <f>"15106011319"</f>
        <v>15106011319</v>
      </c>
      <c r="B328" s="15" t="s">
        <v>17</v>
      </c>
      <c r="C328" s="14" t="s">
        <v>11</v>
      </c>
      <c r="D328" s="16">
        <v>74.84</v>
      </c>
      <c r="E328" s="16">
        <f t="shared" si="10"/>
        <v>44.904</v>
      </c>
      <c r="F328" s="14"/>
      <c r="G328" s="14"/>
      <c r="H328" s="16">
        <f t="shared" si="11"/>
        <v>44.904</v>
      </c>
      <c r="I328" s="14">
        <v>27</v>
      </c>
    </row>
    <row r="329" ht="24" customHeight="1" spans="1:9">
      <c r="A329" s="14" t="str">
        <f>"15106011518"</f>
        <v>15106011518</v>
      </c>
      <c r="B329" s="15" t="s">
        <v>17</v>
      </c>
      <c r="C329" s="14" t="s">
        <v>12</v>
      </c>
      <c r="D329" s="16">
        <v>70.48</v>
      </c>
      <c r="E329" s="16">
        <f t="shared" si="10"/>
        <v>42.288</v>
      </c>
      <c r="F329" s="14">
        <v>2.5</v>
      </c>
      <c r="G329" s="14"/>
      <c r="H329" s="16">
        <f t="shared" si="11"/>
        <v>44.788</v>
      </c>
      <c r="I329" s="14">
        <v>28</v>
      </c>
    </row>
    <row r="330" ht="24" customHeight="1" spans="1:9">
      <c r="A330" s="14" t="str">
        <f>"15106011607"</f>
        <v>15106011607</v>
      </c>
      <c r="B330" s="15" t="s">
        <v>17</v>
      </c>
      <c r="C330" s="14" t="s">
        <v>11</v>
      </c>
      <c r="D330" s="16">
        <v>74.58</v>
      </c>
      <c r="E330" s="16">
        <f t="shared" si="10"/>
        <v>44.748</v>
      </c>
      <c r="F330" s="14"/>
      <c r="G330" s="14"/>
      <c r="H330" s="16">
        <f t="shared" si="11"/>
        <v>44.748</v>
      </c>
      <c r="I330" s="14">
        <v>29</v>
      </c>
    </row>
    <row r="331" ht="24" customHeight="1" spans="1:9">
      <c r="A331" s="14" t="str">
        <f>"15106011524"</f>
        <v>15106011524</v>
      </c>
      <c r="B331" s="15" t="s">
        <v>17</v>
      </c>
      <c r="C331" s="14" t="s">
        <v>11</v>
      </c>
      <c r="D331" s="16">
        <v>74.48</v>
      </c>
      <c r="E331" s="16">
        <f t="shared" si="10"/>
        <v>44.688</v>
      </c>
      <c r="F331" s="14"/>
      <c r="G331" s="14"/>
      <c r="H331" s="16">
        <f t="shared" si="11"/>
        <v>44.688</v>
      </c>
      <c r="I331" s="14">
        <v>30</v>
      </c>
    </row>
    <row r="332" ht="24" customHeight="1" spans="1:9">
      <c r="A332" s="14" t="str">
        <f>"15106011416"</f>
        <v>15106011416</v>
      </c>
      <c r="B332" s="15" t="s">
        <v>17</v>
      </c>
      <c r="C332" s="14" t="s">
        <v>11</v>
      </c>
      <c r="D332" s="16">
        <v>74.32</v>
      </c>
      <c r="E332" s="16">
        <f t="shared" si="10"/>
        <v>44.592</v>
      </c>
      <c r="F332" s="14"/>
      <c r="G332" s="14"/>
      <c r="H332" s="16">
        <f t="shared" si="11"/>
        <v>44.592</v>
      </c>
      <c r="I332" s="14">
        <v>31</v>
      </c>
    </row>
    <row r="333" ht="24" customHeight="1" spans="1:9">
      <c r="A333" s="14" t="str">
        <f>"15106011530"</f>
        <v>15106011530</v>
      </c>
      <c r="B333" s="15" t="s">
        <v>17</v>
      </c>
      <c r="C333" s="14" t="s">
        <v>11</v>
      </c>
      <c r="D333" s="16">
        <v>74.22</v>
      </c>
      <c r="E333" s="16">
        <f t="shared" si="10"/>
        <v>44.532</v>
      </c>
      <c r="F333" s="14"/>
      <c r="G333" s="14"/>
      <c r="H333" s="16">
        <f t="shared" si="11"/>
        <v>44.532</v>
      </c>
      <c r="I333" s="14">
        <v>32</v>
      </c>
    </row>
    <row r="334" ht="24" customHeight="1" spans="1:9">
      <c r="A334" s="14" t="str">
        <f>"15106011528"</f>
        <v>15106011528</v>
      </c>
      <c r="B334" s="15" t="s">
        <v>17</v>
      </c>
      <c r="C334" s="14" t="s">
        <v>11</v>
      </c>
      <c r="D334" s="16">
        <v>74</v>
      </c>
      <c r="E334" s="16">
        <f t="shared" si="10"/>
        <v>44.4</v>
      </c>
      <c r="F334" s="14"/>
      <c r="G334" s="14"/>
      <c r="H334" s="16">
        <f t="shared" si="11"/>
        <v>44.4</v>
      </c>
      <c r="I334" s="14">
        <v>33</v>
      </c>
    </row>
    <row r="335" ht="24" customHeight="1" spans="1:9">
      <c r="A335" s="14" t="str">
        <f>"15106011313"</f>
        <v>15106011313</v>
      </c>
      <c r="B335" s="15" t="s">
        <v>17</v>
      </c>
      <c r="C335" s="14" t="s">
        <v>11</v>
      </c>
      <c r="D335" s="16">
        <v>73.18</v>
      </c>
      <c r="E335" s="16">
        <f t="shared" si="10"/>
        <v>43.908</v>
      </c>
      <c r="F335" s="14"/>
      <c r="G335" s="14"/>
      <c r="H335" s="16">
        <f t="shared" si="11"/>
        <v>43.908</v>
      </c>
      <c r="I335" s="14">
        <v>34</v>
      </c>
    </row>
    <row r="336" ht="24" customHeight="1" spans="1:9">
      <c r="A336" s="14" t="str">
        <f>"15106011603"</f>
        <v>15106011603</v>
      </c>
      <c r="B336" s="15" t="s">
        <v>17</v>
      </c>
      <c r="C336" s="14" t="s">
        <v>11</v>
      </c>
      <c r="D336" s="16">
        <v>72.26</v>
      </c>
      <c r="E336" s="16">
        <f t="shared" si="10"/>
        <v>43.356</v>
      </c>
      <c r="F336" s="14"/>
      <c r="G336" s="14"/>
      <c r="H336" s="16">
        <f t="shared" si="11"/>
        <v>43.356</v>
      </c>
      <c r="I336" s="14">
        <v>35</v>
      </c>
    </row>
    <row r="337" ht="24" customHeight="1" spans="1:9">
      <c r="A337" s="14" t="str">
        <f>"15106011308"</f>
        <v>15106011308</v>
      </c>
      <c r="B337" s="15" t="s">
        <v>17</v>
      </c>
      <c r="C337" s="14" t="s">
        <v>11</v>
      </c>
      <c r="D337" s="16">
        <v>72.2</v>
      </c>
      <c r="E337" s="16">
        <f t="shared" si="10"/>
        <v>43.32</v>
      </c>
      <c r="F337" s="14"/>
      <c r="G337" s="14"/>
      <c r="H337" s="16">
        <f t="shared" si="11"/>
        <v>43.32</v>
      </c>
      <c r="I337" s="14">
        <v>36</v>
      </c>
    </row>
    <row r="338" ht="24" customHeight="1" spans="1:9">
      <c r="A338" s="14" t="str">
        <f>"15106011323"</f>
        <v>15106011323</v>
      </c>
      <c r="B338" s="15" t="s">
        <v>17</v>
      </c>
      <c r="C338" s="14" t="s">
        <v>11</v>
      </c>
      <c r="D338" s="16">
        <v>71.94</v>
      </c>
      <c r="E338" s="16">
        <f t="shared" si="10"/>
        <v>43.164</v>
      </c>
      <c r="F338" s="14"/>
      <c r="G338" s="14"/>
      <c r="H338" s="16">
        <f t="shared" si="11"/>
        <v>43.164</v>
      </c>
      <c r="I338" s="14">
        <v>37</v>
      </c>
    </row>
    <row r="339" ht="24" customHeight="1" spans="1:9">
      <c r="A339" s="14" t="str">
        <f>"15106011229"</f>
        <v>15106011229</v>
      </c>
      <c r="B339" s="15" t="s">
        <v>17</v>
      </c>
      <c r="C339" s="14" t="s">
        <v>12</v>
      </c>
      <c r="D339" s="16">
        <v>67.7</v>
      </c>
      <c r="E339" s="16">
        <f t="shared" si="10"/>
        <v>40.62</v>
      </c>
      <c r="F339" s="14">
        <v>2.5</v>
      </c>
      <c r="G339" s="14"/>
      <c r="H339" s="16">
        <f t="shared" si="11"/>
        <v>43.12</v>
      </c>
      <c r="I339" s="14">
        <v>38</v>
      </c>
    </row>
    <row r="340" ht="24" customHeight="1" spans="1:9">
      <c r="A340" s="14" t="str">
        <f>"15106011523"</f>
        <v>15106011523</v>
      </c>
      <c r="B340" s="15" t="s">
        <v>17</v>
      </c>
      <c r="C340" s="14" t="s">
        <v>11</v>
      </c>
      <c r="D340" s="16">
        <v>71.36</v>
      </c>
      <c r="E340" s="16">
        <f t="shared" si="10"/>
        <v>42.816</v>
      </c>
      <c r="F340" s="14"/>
      <c r="G340" s="14"/>
      <c r="H340" s="16">
        <f t="shared" si="11"/>
        <v>42.816</v>
      </c>
      <c r="I340" s="14">
        <v>39</v>
      </c>
    </row>
    <row r="341" ht="24" customHeight="1" spans="1:9">
      <c r="A341" s="14" t="str">
        <f>"15106011613"</f>
        <v>15106011613</v>
      </c>
      <c r="B341" s="15" t="s">
        <v>17</v>
      </c>
      <c r="C341" s="14" t="s">
        <v>11</v>
      </c>
      <c r="D341" s="16">
        <v>71.22</v>
      </c>
      <c r="E341" s="16">
        <f t="shared" si="10"/>
        <v>42.732</v>
      </c>
      <c r="F341" s="14"/>
      <c r="G341" s="14"/>
      <c r="H341" s="16">
        <f t="shared" si="11"/>
        <v>42.732</v>
      </c>
      <c r="I341" s="14">
        <v>40</v>
      </c>
    </row>
    <row r="342" ht="24" customHeight="1" spans="1:9">
      <c r="A342" s="14" t="str">
        <f>"15106011413"</f>
        <v>15106011413</v>
      </c>
      <c r="B342" s="15" t="s">
        <v>17</v>
      </c>
      <c r="C342" s="14" t="s">
        <v>11</v>
      </c>
      <c r="D342" s="16">
        <v>71.2</v>
      </c>
      <c r="E342" s="16">
        <f t="shared" si="10"/>
        <v>42.72</v>
      </c>
      <c r="F342" s="14"/>
      <c r="G342" s="14"/>
      <c r="H342" s="16">
        <f t="shared" si="11"/>
        <v>42.72</v>
      </c>
      <c r="I342" s="14">
        <v>41</v>
      </c>
    </row>
    <row r="343" ht="24" customHeight="1" spans="1:9">
      <c r="A343" s="14" t="str">
        <f>"15106011419"</f>
        <v>15106011419</v>
      </c>
      <c r="B343" s="15" t="s">
        <v>17</v>
      </c>
      <c r="C343" s="14" t="s">
        <v>11</v>
      </c>
      <c r="D343" s="16">
        <v>71.18</v>
      </c>
      <c r="E343" s="16">
        <f t="shared" si="10"/>
        <v>42.708</v>
      </c>
      <c r="F343" s="14"/>
      <c r="G343" s="14"/>
      <c r="H343" s="16">
        <f t="shared" si="11"/>
        <v>42.708</v>
      </c>
      <c r="I343" s="14">
        <v>42</v>
      </c>
    </row>
    <row r="344" ht="24" customHeight="1" spans="1:9">
      <c r="A344" s="14" t="str">
        <f>"15106011428"</f>
        <v>15106011428</v>
      </c>
      <c r="B344" s="15" t="s">
        <v>17</v>
      </c>
      <c r="C344" s="14" t="s">
        <v>11</v>
      </c>
      <c r="D344" s="16">
        <v>70.8</v>
      </c>
      <c r="E344" s="16">
        <f t="shared" si="10"/>
        <v>42.48</v>
      </c>
      <c r="F344" s="14"/>
      <c r="G344" s="14"/>
      <c r="H344" s="16">
        <f t="shared" si="11"/>
        <v>42.48</v>
      </c>
      <c r="I344" s="14">
        <v>43</v>
      </c>
    </row>
    <row r="345" ht="24" customHeight="1" spans="1:9">
      <c r="A345" s="14" t="str">
        <f>"15106011228"</f>
        <v>15106011228</v>
      </c>
      <c r="B345" s="15" t="s">
        <v>17</v>
      </c>
      <c r="C345" s="14" t="s">
        <v>11</v>
      </c>
      <c r="D345" s="16">
        <v>70.56</v>
      </c>
      <c r="E345" s="16">
        <f t="shared" si="10"/>
        <v>42.336</v>
      </c>
      <c r="F345" s="14"/>
      <c r="G345" s="14"/>
      <c r="H345" s="16">
        <f t="shared" si="11"/>
        <v>42.336</v>
      </c>
      <c r="I345" s="14">
        <v>44</v>
      </c>
    </row>
    <row r="346" ht="24" customHeight="1" spans="1:9">
      <c r="A346" s="14" t="str">
        <f>"15106011429"</f>
        <v>15106011429</v>
      </c>
      <c r="B346" s="15" t="s">
        <v>17</v>
      </c>
      <c r="C346" s="14" t="s">
        <v>18</v>
      </c>
      <c r="D346" s="16">
        <v>70.36</v>
      </c>
      <c r="E346" s="16">
        <f t="shared" si="10"/>
        <v>42.216</v>
      </c>
      <c r="F346" s="14"/>
      <c r="G346" s="14"/>
      <c r="H346" s="16">
        <f t="shared" si="11"/>
        <v>42.216</v>
      </c>
      <c r="I346" s="14">
        <v>45</v>
      </c>
    </row>
    <row r="347" ht="24" customHeight="1" spans="1:9">
      <c r="A347" s="14" t="str">
        <f>"15106011508"</f>
        <v>15106011508</v>
      </c>
      <c r="B347" s="15" t="s">
        <v>17</v>
      </c>
      <c r="C347" s="14" t="s">
        <v>11</v>
      </c>
      <c r="D347" s="16">
        <v>70.3</v>
      </c>
      <c r="E347" s="16">
        <f t="shared" si="10"/>
        <v>42.18</v>
      </c>
      <c r="F347" s="14"/>
      <c r="G347" s="14"/>
      <c r="H347" s="16">
        <f t="shared" si="11"/>
        <v>42.18</v>
      </c>
      <c r="I347" s="14">
        <v>46</v>
      </c>
    </row>
    <row r="348" ht="24" customHeight="1" spans="1:9">
      <c r="A348" s="14" t="str">
        <f>"15106011517"</f>
        <v>15106011517</v>
      </c>
      <c r="B348" s="15" t="s">
        <v>17</v>
      </c>
      <c r="C348" s="14" t="s">
        <v>11</v>
      </c>
      <c r="D348" s="16">
        <v>70.16</v>
      </c>
      <c r="E348" s="16">
        <f t="shared" si="10"/>
        <v>42.096</v>
      </c>
      <c r="F348" s="14"/>
      <c r="G348" s="14"/>
      <c r="H348" s="16">
        <f t="shared" si="11"/>
        <v>42.096</v>
      </c>
      <c r="I348" s="14">
        <v>47</v>
      </c>
    </row>
    <row r="349" ht="24" customHeight="1" spans="1:9">
      <c r="A349" s="14" t="str">
        <f>"15106011529"</f>
        <v>15106011529</v>
      </c>
      <c r="B349" s="15" t="s">
        <v>17</v>
      </c>
      <c r="C349" s="14" t="s">
        <v>11</v>
      </c>
      <c r="D349" s="16">
        <v>70.14</v>
      </c>
      <c r="E349" s="16">
        <f t="shared" si="10"/>
        <v>42.084</v>
      </c>
      <c r="F349" s="14"/>
      <c r="G349" s="14"/>
      <c r="H349" s="16">
        <f t="shared" si="11"/>
        <v>42.084</v>
      </c>
      <c r="I349" s="14">
        <v>48</v>
      </c>
    </row>
    <row r="350" ht="24" customHeight="1" spans="1:9">
      <c r="A350" s="14" t="str">
        <f>"15106011510"</f>
        <v>15106011510</v>
      </c>
      <c r="B350" s="15" t="s">
        <v>17</v>
      </c>
      <c r="C350" s="14" t="s">
        <v>11</v>
      </c>
      <c r="D350" s="16">
        <v>70.02</v>
      </c>
      <c r="E350" s="16">
        <f t="shared" si="10"/>
        <v>42.012</v>
      </c>
      <c r="F350" s="14"/>
      <c r="G350" s="14"/>
      <c r="H350" s="16">
        <f t="shared" si="11"/>
        <v>42.012</v>
      </c>
      <c r="I350" s="14">
        <v>49</v>
      </c>
    </row>
    <row r="351" ht="24" customHeight="1" spans="1:9">
      <c r="A351" s="14" t="str">
        <f>"15106011414"</f>
        <v>15106011414</v>
      </c>
      <c r="B351" s="15" t="s">
        <v>17</v>
      </c>
      <c r="C351" s="14" t="s">
        <v>11</v>
      </c>
      <c r="D351" s="16">
        <v>69.98</v>
      </c>
      <c r="E351" s="16">
        <f t="shared" si="10"/>
        <v>41.988</v>
      </c>
      <c r="F351" s="14"/>
      <c r="G351" s="14"/>
      <c r="H351" s="16">
        <f t="shared" si="11"/>
        <v>41.988</v>
      </c>
      <c r="I351" s="14">
        <v>50</v>
      </c>
    </row>
    <row r="352" ht="24" customHeight="1" spans="1:9">
      <c r="A352" s="14" t="str">
        <f>"15106011507"</f>
        <v>15106011507</v>
      </c>
      <c r="B352" s="15" t="s">
        <v>17</v>
      </c>
      <c r="C352" s="14" t="s">
        <v>11</v>
      </c>
      <c r="D352" s="16">
        <v>69.64</v>
      </c>
      <c r="E352" s="16">
        <f t="shared" si="10"/>
        <v>41.784</v>
      </c>
      <c r="F352" s="14"/>
      <c r="G352" s="14"/>
      <c r="H352" s="16">
        <f t="shared" si="11"/>
        <v>41.784</v>
      </c>
      <c r="I352" s="14">
        <v>51</v>
      </c>
    </row>
    <row r="353" ht="24" customHeight="1" spans="1:9">
      <c r="A353" s="14" t="str">
        <f>"15106011301"</f>
        <v>15106011301</v>
      </c>
      <c r="B353" s="15" t="s">
        <v>17</v>
      </c>
      <c r="C353" s="14" t="s">
        <v>11</v>
      </c>
      <c r="D353" s="16">
        <v>69.08</v>
      </c>
      <c r="E353" s="16">
        <f t="shared" si="10"/>
        <v>41.448</v>
      </c>
      <c r="F353" s="14"/>
      <c r="G353" s="14"/>
      <c r="H353" s="16">
        <f t="shared" si="11"/>
        <v>41.448</v>
      </c>
      <c r="I353" s="14">
        <v>52</v>
      </c>
    </row>
    <row r="354" ht="24" customHeight="1" spans="1:9">
      <c r="A354" s="14" t="str">
        <f>"15106011515"</f>
        <v>15106011515</v>
      </c>
      <c r="B354" s="15" t="s">
        <v>17</v>
      </c>
      <c r="C354" s="14" t="s">
        <v>11</v>
      </c>
      <c r="D354" s="16">
        <v>69.02</v>
      </c>
      <c r="E354" s="16">
        <f t="shared" si="10"/>
        <v>41.412</v>
      </c>
      <c r="F354" s="14"/>
      <c r="G354" s="14"/>
      <c r="H354" s="16">
        <f t="shared" si="11"/>
        <v>41.412</v>
      </c>
      <c r="I354" s="14">
        <v>53</v>
      </c>
    </row>
    <row r="355" ht="24" customHeight="1" spans="1:9">
      <c r="A355" s="14" t="str">
        <f>"15106011604"</f>
        <v>15106011604</v>
      </c>
      <c r="B355" s="15" t="s">
        <v>17</v>
      </c>
      <c r="C355" s="14" t="s">
        <v>11</v>
      </c>
      <c r="D355" s="16">
        <v>68.48</v>
      </c>
      <c r="E355" s="16">
        <f t="shared" si="10"/>
        <v>41.088</v>
      </c>
      <c r="F355" s="14"/>
      <c r="G355" s="14"/>
      <c r="H355" s="16">
        <f t="shared" si="11"/>
        <v>41.088</v>
      </c>
      <c r="I355" s="14">
        <v>54</v>
      </c>
    </row>
    <row r="356" ht="24" customHeight="1" spans="1:9">
      <c r="A356" s="14" t="str">
        <f>"15106011315"</f>
        <v>15106011315</v>
      </c>
      <c r="B356" s="15" t="s">
        <v>17</v>
      </c>
      <c r="C356" s="14" t="s">
        <v>11</v>
      </c>
      <c r="D356" s="16">
        <v>68.36</v>
      </c>
      <c r="E356" s="16">
        <f t="shared" si="10"/>
        <v>41.016</v>
      </c>
      <c r="F356" s="14"/>
      <c r="G356" s="14"/>
      <c r="H356" s="16">
        <f t="shared" si="11"/>
        <v>41.016</v>
      </c>
      <c r="I356" s="14">
        <v>55</v>
      </c>
    </row>
    <row r="357" ht="24" customHeight="1" spans="1:9">
      <c r="A357" s="14" t="str">
        <f>"15106011421"</f>
        <v>15106011421</v>
      </c>
      <c r="B357" s="15" t="s">
        <v>17</v>
      </c>
      <c r="C357" s="14" t="s">
        <v>11</v>
      </c>
      <c r="D357" s="16">
        <v>68.3</v>
      </c>
      <c r="E357" s="16">
        <f t="shared" si="10"/>
        <v>40.98</v>
      </c>
      <c r="F357" s="14"/>
      <c r="G357" s="14"/>
      <c r="H357" s="16">
        <f t="shared" si="11"/>
        <v>40.98</v>
      </c>
      <c r="I357" s="14">
        <v>56</v>
      </c>
    </row>
    <row r="358" ht="24" customHeight="1" spans="1:9">
      <c r="A358" s="14" t="str">
        <f>"15106011407"</f>
        <v>15106011407</v>
      </c>
      <c r="B358" s="15" t="s">
        <v>17</v>
      </c>
      <c r="C358" s="14" t="s">
        <v>11</v>
      </c>
      <c r="D358" s="16">
        <v>67.92</v>
      </c>
      <c r="E358" s="16">
        <f t="shared" si="10"/>
        <v>40.752</v>
      </c>
      <c r="F358" s="14"/>
      <c r="G358" s="14"/>
      <c r="H358" s="16">
        <f t="shared" si="11"/>
        <v>40.752</v>
      </c>
      <c r="I358" s="14">
        <v>57</v>
      </c>
    </row>
    <row r="359" ht="24" customHeight="1" spans="1:9">
      <c r="A359" s="14" t="str">
        <f>"15106011316"</f>
        <v>15106011316</v>
      </c>
      <c r="B359" s="15" t="s">
        <v>17</v>
      </c>
      <c r="C359" s="14" t="s">
        <v>11</v>
      </c>
      <c r="D359" s="16">
        <v>67.84</v>
      </c>
      <c r="E359" s="16">
        <f t="shared" si="10"/>
        <v>40.704</v>
      </c>
      <c r="F359" s="14"/>
      <c r="G359" s="14"/>
      <c r="H359" s="16">
        <f t="shared" si="11"/>
        <v>40.704</v>
      </c>
      <c r="I359" s="14">
        <v>58</v>
      </c>
    </row>
    <row r="360" ht="24" customHeight="1" spans="1:9">
      <c r="A360" s="14" t="str">
        <f>"15106011504"</f>
        <v>15106011504</v>
      </c>
      <c r="B360" s="15" t="s">
        <v>17</v>
      </c>
      <c r="C360" s="14" t="s">
        <v>11</v>
      </c>
      <c r="D360" s="16">
        <v>67.78</v>
      </c>
      <c r="E360" s="16">
        <f t="shared" si="10"/>
        <v>40.668</v>
      </c>
      <c r="F360" s="14"/>
      <c r="G360" s="14"/>
      <c r="H360" s="16">
        <f t="shared" si="11"/>
        <v>40.668</v>
      </c>
      <c r="I360" s="14">
        <v>59</v>
      </c>
    </row>
    <row r="361" ht="24" customHeight="1" spans="1:9">
      <c r="A361" s="14" t="str">
        <f>"15106011423"</f>
        <v>15106011423</v>
      </c>
      <c r="B361" s="15" t="s">
        <v>17</v>
      </c>
      <c r="C361" s="14" t="s">
        <v>11</v>
      </c>
      <c r="D361" s="16">
        <v>67.24</v>
      </c>
      <c r="E361" s="16">
        <f t="shared" si="10"/>
        <v>40.344</v>
      </c>
      <c r="F361" s="14"/>
      <c r="G361" s="14"/>
      <c r="H361" s="16">
        <f t="shared" si="11"/>
        <v>40.344</v>
      </c>
      <c r="I361" s="14">
        <v>60</v>
      </c>
    </row>
    <row r="362" ht="24" customHeight="1" spans="1:9">
      <c r="A362" s="14" t="str">
        <f>"15106011329"</f>
        <v>15106011329</v>
      </c>
      <c r="B362" s="15" t="s">
        <v>17</v>
      </c>
      <c r="C362" s="14" t="s">
        <v>11</v>
      </c>
      <c r="D362" s="16">
        <v>67.02</v>
      </c>
      <c r="E362" s="16">
        <f t="shared" si="10"/>
        <v>40.212</v>
      </c>
      <c r="F362" s="14"/>
      <c r="G362" s="14"/>
      <c r="H362" s="16">
        <f t="shared" si="11"/>
        <v>40.212</v>
      </c>
      <c r="I362" s="14">
        <v>61</v>
      </c>
    </row>
    <row r="363" ht="24" customHeight="1" spans="1:9">
      <c r="A363" s="14" t="str">
        <f>"15106011514"</f>
        <v>15106011514</v>
      </c>
      <c r="B363" s="15" t="s">
        <v>17</v>
      </c>
      <c r="C363" s="14" t="s">
        <v>11</v>
      </c>
      <c r="D363" s="16">
        <v>66.5</v>
      </c>
      <c r="E363" s="16">
        <f t="shared" si="10"/>
        <v>39.9</v>
      </c>
      <c r="F363" s="14"/>
      <c r="G363" s="14"/>
      <c r="H363" s="16">
        <f t="shared" si="11"/>
        <v>39.9</v>
      </c>
      <c r="I363" s="14">
        <v>62</v>
      </c>
    </row>
    <row r="364" ht="24" customHeight="1" spans="1:9">
      <c r="A364" s="14" t="str">
        <f>"15106011306"</f>
        <v>15106011306</v>
      </c>
      <c r="B364" s="15" t="s">
        <v>17</v>
      </c>
      <c r="C364" s="14" t="s">
        <v>11</v>
      </c>
      <c r="D364" s="16">
        <v>66.36</v>
      </c>
      <c r="E364" s="16">
        <f t="shared" si="10"/>
        <v>39.816</v>
      </c>
      <c r="F364" s="14"/>
      <c r="G364" s="14"/>
      <c r="H364" s="16">
        <f t="shared" si="11"/>
        <v>39.816</v>
      </c>
      <c r="I364" s="14">
        <v>63</v>
      </c>
    </row>
    <row r="365" ht="24" customHeight="1" spans="1:9">
      <c r="A365" s="14" t="str">
        <f>"15106011406"</f>
        <v>15106011406</v>
      </c>
      <c r="B365" s="15" t="s">
        <v>17</v>
      </c>
      <c r="C365" s="14" t="s">
        <v>11</v>
      </c>
      <c r="D365" s="16">
        <v>66.34</v>
      </c>
      <c r="E365" s="16">
        <f t="shared" si="10"/>
        <v>39.804</v>
      </c>
      <c r="F365" s="14"/>
      <c r="G365" s="14"/>
      <c r="H365" s="16">
        <f t="shared" si="11"/>
        <v>39.804</v>
      </c>
      <c r="I365" s="14">
        <v>64</v>
      </c>
    </row>
    <row r="366" ht="24" customHeight="1" spans="1:9">
      <c r="A366" s="14" t="str">
        <f>"15106011605"</f>
        <v>15106011605</v>
      </c>
      <c r="B366" s="15" t="s">
        <v>17</v>
      </c>
      <c r="C366" s="14" t="s">
        <v>11</v>
      </c>
      <c r="D366" s="16">
        <v>66.18</v>
      </c>
      <c r="E366" s="16">
        <f t="shared" si="10"/>
        <v>39.708</v>
      </c>
      <c r="F366" s="14"/>
      <c r="G366" s="14"/>
      <c r="H366" s="16">
        <f t="shared" si="11"/>
        <v>39.708</v>
      </c>
      <c r="I366" s="14">
        <v>65</v>
      </c>
    </row>
    <row r="367" ht="24" customHeight="1" spans="1:9">
      <c r="A367" s="14" t="str">
        <f>"15106011402"</f>
        <v>15106011402</v>
      </c>
      <c r="B367" s="15" t="s">
        <v>17</v>
      </c>
      <c r="C367" s="14" t="s">
        <v>11</v>
      </c>
      <c r="D367" s="16">
        <v>66.02</v>
      </c>
      <c r="E367" s="16">
        <f t="shared" si="10"/>
        <v>39.612</v>
      </c>
      <c r="F367" s="14"/>
      <c r="G367" s="14"/>
      <c r="H367" s="16">
        <f t="shared" si="11"/>
        <v>39.612</v>
      </c>
      <c r="I367" s="14">
        <v>66</v>
      </c>
    </row>
    <row r="368" ht="24" customHeight="1" spans="1:9">
      <c r="A368" s="14" t="str">
        <f>"15106011317"</f>
        <v>15106011317</v>
      </c>
      <c r="B368" s="15" t="s">
        <v>17</v>
      </c>
      <c r="C368" s="14" t="s">
        <v>11</v>
      </c>
      <c r="D368" s="16">
        <v>65.92</v>
      </c>
      <c r="E368" s="16">
        <f t="shared" si="10"/>
        <v>39.552</v>
      </c>
      <c r="F368" s="14"/>
      <c r="G368" s="14"/>
      <c r="H368" s="16">
        <f t="shared" si="11"/>
        <v>39.552</v>
      </c>
      <c r="I368" s="14">
        <v>67</v>
      </c>
    </row>
    <row r="369" ht="24" customHeight="1" spans="1:9">
      <c r="A369" s="14" t="str">
        <f>"15106011411"</f>
        <v>15106011411</v>
      </c>
      <c r="B369" s="15" t="s">
        <v>17</v>
      </c>
      <c r="C369" s="14" t="s">
        <v>11</v>
      </c>
      <c r="D369" s="16">
        <v>65.46</v>
      </c>
      <c r="E369" s="16">
        <f t="shared" si="10"/>
        <v>39.276</v>
      </c>
      <c r="F369" s="14"/>
      <c r="G369" s="14"/>
      <c r="H369" s="16">
        <f t="shared" si="11"/>
        <v>39.276</v>
      </c>
      <c r="I369" s="14">
        <v>68</v>
      </c>
    </row>
    <row r="370" ht="24" customHeight="1" spans="1:9">
      <c r="A370" s="14" t="str">
        <f>"15106011320"</f>
        <v>15106011320</v>
      </c>
      <c r="B370" s="15" t="s">
        <v>17</v>
      </c>
      <c r="C370" s="14" t="s">
        <v>11</v>
      </c>
      <c r="D370" s="16">
        <v>65.28</v>
      </c>
      <c r="E370" s="16">
        <f t="shared" si="10"/>
        <v>39.168</v>
      </c>
      <c r="F370" s="14"/>
      <c r="G370" s="14"/>
      <c r="H370" s="16">
        <f t="shared" si="11"/>
        <v>39.168</v>
      </c>
      <c r="I370" s="14">
        <v>69</v>
      </c>
    </row>
    <row r="371" ht="24" customHeight="1" spans="1:9">
      <c r="A371" s="14" t="str">
        <f>"15106011616"</f>
        <v>15106011616</v>
      </c>
      <c r="B371" s="15" t="s">
        <v>17</v>
      </c>
      <c r="C371" s="14" t="s">
        <v>11</v>
      </c>
      <c r="D371" s="16">
        <v>65.28</v>
      </c>
      <c r="E371" s="16">
        <f t="shared" si="10"/>
        <v>39.168</v>
      </c>
      <c r="F371" s="14"/>
      <c r="G371" s="14"/>
      <c r="H371" s="16">
        <f t="shared" si="11"/>
        <v>39.168</v>
      </c>
      <c r="I371" s="14">
        <v>70</v>
      </c>
    </row>
    <row r="372" ht="24" customHeight="1" spans="1:9">
      <c r="A372" s="14" t="str">
        <f>"15106011310"</f>
        <v>15106011310</v>
      </c>
      <c r="B372" s="15" t="s">
        <v>17</v>
      </c>
      <c r="C372" s="14" t="s">
        <v>11</v>
      </c>
      <c r="D372" s="16">
        <v>64.98</v>
      </c>
      <c r="E372" s="16">
        <f t="shared" si="10"/>
        <v>38.988</v>
      </c>
      <c r="F372" s="14"/>
      <c r="G372" s="14"/>
      <c r="H372" s="16">
        <f t="shared" si="11"/>
        <v>38.988</v>
      </c>
      <c r="I372" s="14">
        <v>71</v>
      </c>
    </row>
    <row r="373" ht="24" customHeight="1" spans="1:9">
      <c r="A373" s="14" t="str">
        <f>"15106011608"</f>
        <v>15106011608</v>
      </c>
      <c r="B373" s="15" t="s">
        <v>17</v>
      </c>
      <c r="C373" s="14" t="s">
        <v>11</v>
      </c>
      <c r="D373" s="16">
        <v>64.9</v>
      </c>
      <c r="E373" s="16">
        <f t="shared" si="10"/>
        <v>38.94</v>
      </c>
      <c r="F373" s="14"/>
      <c r="G373" s="14"/>
      <c r="H373" s="16">
        <f t="shared" si="11"/>
        <v>38.94</v>
      </c>
      <c r="I373" s="14">
        <v>72</v>
      </c>
    </row>
    <row r="374" ht="24" customHeight="1" spans="1:9">
      <c r="A374" s="14" t="str">
        <f>"15106011427"</f>
        <v>15106011427</v>
      </c>
      <c r="B374" s="15" t="s">
        <v>17</v>
      </c>
      <c r="C374" s="14" t="s">
        <v>11</v>
      </c>
      <c r="D374" s="16">
        <v>63.62</v>
      </c>
      <c r="E374" s="16">
        <f t="shared" si="10"/>
        <v>38.172</v>
      </c>
      <c r="F374" s="14"/>
      <c r="G374" s="14"/>
      <c r="H374" s="16">
        <f t="shared" si="11"/>
        <v>38.172</v>
      </c>
      <c r="I374" s="14">
        <v>73</v>
      </c>
    </row>
    <row r="375" ht="24" customHeight="1" spans="1:9">
      <c r="A375" s="14" t="str">
        <f>"15106011606"</f>
        <v>15106011606</v>
      </c>
      <c r="B375" s="15" t="s">
        <v>17</v>
      </c>
      <c r="C375" s="14" t="s">
        <v>11</v>
      </c>
      <c r="D375" s="16">
        <v>63.56</v>
      </c>
      <c r="E375" s="16">
        <f t="shared" si="10"/>
        <v>38.136</v>
      </c>
      <c r="F375" s="14"/>
      <c r="G375" s="14"/>
      <c r="H375" s="16">
        <f t="shared" si="11"/>
        <v>38.136</v>
      </c>
      <c r="I375" s="14">
        <v>74</v>
      </c>
    </row>
    <row r="376" ht="24" customHeight="1" spans="1:9">
      <c r="A376" s="14" t="str">
        <f>"15106011304"</f>
        <v>15106011304</v>
      </c>
      <c r="B376" s="15" t="s">
        <v>17</v>
      </c>
      <c r="C376" s="14" t="s">
        <v>11</v>
      </c>
      <c r="D376" s="16">
        <v>63.52</v>
      </c>
      <c r="E376" s="16">
        <f t="shared" si="10"/>
        <v>38.112</v>
      </c>
      <c r="F376" s="14"/>
      <c r="G376" s="14"/>
      <c r="H376" s="16">
        <f t="shared" si="11"/>
        <v>38.112</v>
      </c>
      <c r="I376" s="14">
        <v>75</v>
      </c>
    </row>
    <row r="377" ht="24" customHeight="1" spans="1:9">
      <c r="A377" s="14" t="str">
        <f>"15106011519"</f>
        <v>15106011519</v>
      </c>
      <c r="B377" s="15" t="s">
        <v>17</v>
      </c>
      <c r="C377" s="14" t="s">
        <v>11</v>
      </c>
      <c r="D377" s="16">
        <v>63.36</v>
      </c>
      <c r="E377" s="16">
        <f t="shared" si="10"/>
        <v>38.016</v>
      </c>
      <c r="F377" s="14"/>
      <c r="G377" s="14"/>
      <c r="H377" s="16">
        <f t="shared" si="11"/>
        <v>38.016</v>
      </c>
      <c r="I377" s="14">
        <v>76</v>
      </c>
    </row>
    <row r="378" ht="24" customHeight="1" spans="1:9">
      <c r="A378" s="14" t="str">
        <f>"15106011311"</f>
        <v>15106011311</v>
      </c>
      <c r="B378" s="15" t="s">
        <v>17</v>
      </c>
      <c r="C378" s="14" t="s">
        <v>11</v>
      </c>
      <c r="D378" s="16">
        <v>63.16</v>
      </c>
      <c r="E378" s="16">
        <f t="shared" si="10"/>
        <v>37.896</v>
      </c>
      <c r="F378" s="14"/>
      <c r="G378" s="14"/>
      <c r="H378" s="16">
        <f t="shared" si="11"/>
        <v>37.896</v>
      </c>
      <c r="I378" s="14">
        <v>77</v>
      </c>
    </row>
    <row r="379" ht="24" customHeight="1" spans="1:9">
      <c r="A379" s="14" t="str">
        <f>"15106011328"</f>
        <v>15106011328</v>
      </c>
      <c r="B379" s="15" t="s">
        <v>17</v>
      </c>
      <c r="C379" s="14" t="s">
        <v>11</v>
      </c>
      <c r="D379" s="16">
        <v>62.98</v>
      </c>
      <c r="E379" s="16">
        <f t="shared" si="10"/>
        <v>37.788</v>
      </c>
      <c r="F379" s="14"/>
      <c r="G379" s="14"/>
      <c r="H379" s="16">
        <f t="shared" si="11"/>
        <v>37.788</v>
      </c>
      <c r="I379" s="14">
        <v>78</v>
      </c>
    </row>
    <row r="380" ht="24" customHeight="1" spans="1:9">
      <c r="A380" s="14" t="str">
        <f>"15106011230"</f>
        <v>15106011230</v>
      </c>
      <c r="B380" s="15" t="s">
        <v>17</v>
      </c>
      <c r="C380" s="14" t="s">
        <v>11</v>
      </c>
      <c r="D380" s="16">
        <v>62.94</v>
      </c>
      <c r="E380" s="16">
        <f t="shared" si="10"/>
        <v>37.764</v>
      </c>
      <c r="F380" s="14"/>
      <c r="G380" s="14"/>
      <c r="H380" s="16">
        <f t="shared" si="11"/>
        <v>37.764</v>
      </c>
      <c r="I380" s="14">
        <v>79</v>
      </c>
    </row>
    <row r="381" ht="24" customHeight="1" spans="1:9">
      <c r="A381" s="14" t="str">
        <f>"15106011403"</f>
        <v>15106011403</v>
      </c>
      <c r="B381" s="15" t="s">
        <v>17</v>
      </c>
      <c r="C381" s="14" t="s">
        <v>11</v>
      </c>
      <c r="D381" s="16">
        <v>62.8</v>
      </c>
      <c r="E381" s="16">
        <f t="shared" si="10"/>
        <v>37.68</v>
      </c>
      <c r="F381" s="14"/>
      <c r="G381" s="14"/>
      <c r="H381" s="16">
        <f t="shared" si="11"/>
        <v>37.68</v>
      </c>
      <c r="I381" s="14">
        <v>80</v>
      </c>
    </row>
    <row r="382" ht="24" customHeight="1" spans="1:9">
      <c r="A382" s="14" t="str">
        <f>"15106011502"</f>
        <v>15106011502</v>
      </c>
      <c r="B382" s="15" t="s">
        <v>17</v>
      </c>
      <c r="C382" s="14" t="s">
        <v>12</v>
      </c>
      <c r="D382" s="16">
        <v>57.8</v>
      </c>
      <c r="E382" s="16">
        <f t="shared" si="10"/>
        <v>34.68</v>
      </c>
      <c r="F382" s="14">
        <v>2.5</v>
      </c>
      <c r="G382" s="14"/>
      <c r="H382" s="16">
        <f t="shared" si="11"/>
        <v>37.18</v>
      </c>
      <c r="I382" s="14">
        <v>81</v>
      </c>
    </row>
    <row r="383" ht="24" customHeight="1" spans="1:9">
      <c r="A383" s="14" t="str">
        <f>"15106011309"</f>
        <v>15106011309</v>
      </c>
      <c r="B383" s="15" t="s">
        <v>17</v>
      </c>
      <c r="C383" s="14" t="s">
        <v>11</v>
      </c>
      <c r="D383" s="16">
        <v>61.7</v>
      </c>
      <c r="E383" s="16">
        <f t="shared" si="10"/>
        <v>37.02</v>
      </c>
      <c r="F383" s="14"/>
      <c r="G383" s="14"/>
      <c r="H383" s="16">
        <f t="shared" si="11"/>
        <v>37.02</v>
      </c>
      <c r="I383" s="14">
        <v>82</v>
      </c>
    </row>
    <row r="384" ht="24" customHeight="1" spans="1:9">
      <c r="A384" s="14" t="str">
        <f>"15106011512"</f>
        <v>15106011512</v>
      </c>
      <c r="B384" s="15" t="s">
        <v>17</v>
      </c>
      <c r="C384" s="14" t="s">
        <v>11</v>
      </c>
      <c r="D384" s="16">
        <v>61.68</v>
      </c>
      <c r="E384" s="16">
        <f t="shared" si="10"/>
        <v>37.008</v>
      </c>
      <c r="F384" s="14"/>
      <c r="G384" s="14"/>
      <c r="H384" s="16">
        <f t="shared" si="11"/>
        <v>37.008</v>
      </c>
      <c r="I384" s="14">
        <v>83</v>
      </c>
    </row>
    <row r="385" ht="24" customHeight="1" spans="1:9">
      <c r="A385" s="14" t="str">
        <f>"15106011609"</f>
        <v>15106011609</v>
      </c>
      <c r="B385" s="15" t="s">
        <v>17</v>
      </c>
      <c r="C385" s="14" t="s">
        <v>12</v>
      </c>
      <c r="D385" s="16">
        <v>57.46</v>
      </c>
      <c r="E385" s="16">
        <f t="shared" si="10"/>
        <v>34.476</v>
      </c>
      <c r="F385" s="14">
        <v>2.5</v>
      </c>
      <c r="G385" s="14"/>
      <c r="H385" s="16">
        <f t="shared" si="11"/>
        <v>36.976</v>
      </c>
      <c r="I385" s="14">
        <v>84</v>
      </c>
    </row>
    <row r="386" ht="24" customHeight="1" spans="1:9">
      <c r="A386" s="14" t="str">
        <f>"15106011417"</f>
        <v>15106011417</v>
      </c>
      <c r="B386" s="15" t="s">
        <v>17</v>
      </c>
      <c r="C386" s="14" t="s">
        <v>11</v>
      </c>
      <c r="D386" s="16">
        <v>61.6</v>
      </c>
      <c r="E386" s="16">
        <f t="shared" si="10"/>
        <v>36.96</v>
      </c>
      <c r="F386" s="14"/>
      <c r="G386" s="14"/>
      <c r="H386" s="16">
        <f t="shared" si="11"/>
        <v>36.96</v>
      </c>
      <c r="I386" s="14">
        <v>85</v>
      </c>
    </row>
    <row r="387" ht="24" customHeight="1" spans="1:9">
      <c r="A387" s="14" t="str">
        <f>"15106011307"</f>
        <v>15106011307</v>
      </c>
      <c r="B387" s="15" t="s">
        <v>17</v>
      </c>
      <c r="C387" s="14" t="s">
        <v>11</v>
      </c>
      <c r="D387" s="16">
        <v>60.86</v>
      </c>
      <c r="E387" s="16">
        <f t="shared" ref="E387:E450" si="12">D387*0.6</f>
        <v>36.516</v>
      </c>
      <c r="F387" s="14"/>
      <c r="G387" s="14"/>
      <c r="H387" s="16">
        <f t="shared" ref="H387:H450" si="13">SUM(E387:G387)</f>
        <v>36.516</v>
      </c>
      <c r="I387" s="14">
        <v>86</v>
      </c>
    </row>
    <row r="388" ht="24" customHeight="1" spans="1:9">
      <c r="A388" s="14" t="str">
        <f>"15106011501"</f>
        <v>15106011501</v>
      </c>
      <c r="B388" s="15" t="s">
        <v>17</v>
      </c>
      <c r="C388" s="14" t="s">
        <v>12</v>
      </c>
      <c r="D388" s="16">
        <v>56.32</v>
      </c>
      <c r="E388" s="16">
        <f t="shared" si="12"/>
        <v>33.792</v>
      </c>
      <c r="F388" s="14">
        <v>2.5</v>
      </c>
      <c r="G388" s="14"/>
      <c r="H388" s="16">
        <f t="shared" si="13"/>
        <v>36.292</v>
      </c>
      <c r="I388" s="14">
        <v>87</v>
      </c>
    </row>
    <row r="389" ht="24" customHeight="1" spans="1:9">
      <c r="A389" s="14" t="str">
        <f>"15106011312"</f>
        <v>15106011312</v>
      </c>
      <c r="B389" s="15" t="s">
        <v>17</v>
      </c>
      <c r="C389" s="14" t="s">
        <v>11</v>
      </c>
      <c r="D389" s="16">
        <v>60.46</v>
      </c>
      <c r="E389" s="16">
        <f t="shared" si="12"/>
        <v>36.276</v>
      </c>
      <c r="F389" s="14"/>
      <c r="G389" s="14"/>
      <c r="H389" s="16">
        <f t="shared" si="13"/>
        <v>36.276</v>
      </c>
      <c r="I389" s="14">
        <v>88</v>
      </c>
    </row>
    <row r="390" ht="24" customHeight="1" spans="1:9">
      <c r="A390" s="14" t="str">
        <f>"15106011326"</f>
        <v>15106011326</v>
      </c>
      <c r="B390" s="15" t="s">
        <v>17</v>
      </c>
      <c r="C390" s="14" t="s">
        <v>11</v>
      </c>
      <c r="D390" s="16">
        <v>60.28</v>
      </c>
      <c r="E390" s="16">
        <f t="shared" si="12"/>
        <v>36.168</v>
      </c>
      <c r="F390" s="14"/>
      <c r="G390" s="14"/>
      <c r="H390" s="16">
        <f t="shared" si="13"/>
        <v>36.168</v>
      </c>
      <c r="I390" s="14">
        <v>89</v>
      </c>
    </row>
    <row r="391" ht="24" customHeight="1" spans="1:9">
      <c r="A391" s="14" t="str">
        <f>"15106011324"</f>
        <v>15106011324</v>
      </c>
      <c r="B391" s="15" t="s">
        <v>17</v>
      </c>
      <c r="C391" s="14" t="s">
        <v>11</v>
      </c>
      <c r="D391" s="16">
        <v>60.06</v>
      </c>
      <c r="E391" s="16">
        <f t="shared" si="12"/>
        <v>36.036</v>
      </c>
      <c r="F391" s="14"/>
      <c r="G391" s="14"/>
      <c r="H391" s="16">
        <f t="shared" si="13"/>
        <v>36.036</v>
      </c>
      <c r="I391" s="14">
        <v>90</v>
      </c>
    </row>
    <row r="392" ht="24" customHeight="1" spans="1:9">
      <c r="A392" s="14" t="str">
        <f>"15106011614"</f>
        <v>15106011614</v>
      </c>
      <c r="B392" s="15" t="s">
        <v>17</v>
      </c>
      <c r="C392" s="14" t="s">
        <v>11</v>
      </c>
      <c r="D392" s="16">
        <v>59.86</v>
      </c>
      <c r="E392" s="16">
        <f t="shared" si="12"/>
        <v>35.916</v>
      </c>
      <c r="F392" s="14"/>
      <c r="G392" s="14"/>
      <c r="H392" s="16">
        <f t="shared" si="13"/>
        <v>35.916</v>
      </c>
      <c r="I392" s="14">
        <v>91</v>
      </c>
    </row>
    <row r="393" ht="24" customHeight="1" spans="1:9">
      <c r="A393" s="14" t="str">
        <f>"15106011426"</f>
        <v>15106011426</v>
      </c>
      <c r="B393" s="15" t="s">
        <v>17</v>
      </c>
      <c r="C393" s="14" t="s">
        <v>11</v>
      </c>
      <c r="D393" s="16">
        <v>59.34</v>
      </c>
      <c r="E393" s="16">
        <f t="shared" si="12"/>
        <v>35.604</v>
      </c>
      <c r="F393" s="14"/>
      <c r="G393" s="14"/>
      <c r="H393" s="16">
        <f t="shared" si="13"/>
        <v>35.604</v>
      </c>
      <c r="I393" s="14">
        <v>92</v>
      </c>
    </row>
    <row r="394" ht="24" customHeight="1" spans="1:9">
      <c r="A394" s="14" t="str">
        <f>"15106011412"</f>
        <v>15106011412</v>
      </c>
      <c r="B394" s="15" t="s">
        <v>17</v>
      </c>
      <c r="C394" s="14" t="s">
        <v>11</v>
      </c>
      <c r="D394" s="16">
        <v>57</v>
      </c>
      <c r="E394" s="16">
        <f t="shared" si="12"/>
        <v>34.2</v>
      </c>
      <c r="F394" s="14"/>
      <c r="G394" s="14"/>
      <c r="H394" s="16">
        <f t="shared" si="13"/>
        <v>34.2</v>
      </c>
      <c r="I394" s="14">
        <v>93</v>
      </c>
    </row>
    <row r="395" ht="24" customHeight="1" spans="1:9">
      <c r="A395" s="14" t="str">
        <f>"15106011305"</f>
        <v>15106011305</v>
      </c>
      <c r="B395" s="15" t="s">
        <v>17</v>
      </c>
      <c r="C395" s="14" t="s">
        <v>11</v>
      </c>
      <c r="D395" s="16">
        <v>56.32</v>
      </c>
      <c r="E395" s="16">
        <f t="shared" si="12"/>
        <v>33.792</v>
      </c>
      <c r="F395" s="14"/>
      <c r="G395" s="14"/>
      <c r="H395" s="16">
        <f t="shared" si="13"/>
        <v>33.792</v>
      </c>
      <c r="I395" s="14">
        <v>94</v>
      </c>
    </row>
    <row r="396" ht="24" customHeight="1" spans="1:9">
      <c r="A396" s="14" t="str">
        <f>"15106011506"</f>
        <v>15106011506</v>
      </c>
      <c r="B396" s="15" t="s">
        <v>17</v>
      </c>
      <c r="C396" s="14" t="s">
        <v>11</v>
      </c>
      <c r="D396" s="16">
        <v>56.3</v>
      </c>
      <c r="E396" s="16">
        <f t="shared" si="12"/>
        <v>33.78</v>
      </c>
      <c r="F396" s="14"/>
      <c r="G396" s="14"/>
      <c r="H396" s="16">
        <f t="shared" si="13"/>
        <v>33.78</v>
      </c>
      <c r="I396" s="14">
        <v>95</v>
      </c>
    </row>
    <row r="397" ht="24" customHeight="1" spans="1:9">
      <c r="A397" s="14" t="str">
        <f>"15106011415"</f>
        <v>15106011415</v>
      </c>
      <c r="B397" s="15" t="s">
        <v>17</v>
      </c>
      <c r="C397" s="14" t="s">
        <v>11</v>
      </c>
      <c r="D397" s="16">
        <v>56.12</v>
      </c>
      <c r="E397" s="16">
        <f t="shared" si="12"/>
        <v>33.672</v>
      </c>
      <c r="F397" s="14"/>
      <c r="G397" s="14"/>
      <c r="H397" s="16">
        <f t="shared" si="13"/>
        <v>33.672</v>
      </c>
      <c r="I397" s="14">
        <v>96</v>
      </c>
    </row>
    <row r="398" ht="24" customHeight="1" spans="1:9">
      <c r="A398" s="14" t="str">
        <f>"15106011327"</f>
        <v>15106011327</v>
      </c>
      <c r="B398" s="15" t="s">
        <v>17</v>
      </c>
      <c r="C398" s="14" t="s">
        <v>11</v>
      </c>
      <c r="D398" s="16">
        <v>54.02</v>
      </c>
      <c r="E398" s="16">
        <f t="shared" si="12"/>
        <v>32.412</v>
      </c>
      <c r="F398" s="14"/>
      <c r="G398" s="14"/>
      <c r="H398" s="16">
        <f t="shared" si="13"/>
        <v>32.412</v>
      </c>
      <c r="I398" s="14">
        <v>97</v>
      </c>
    </row>
    <row r="399" ht="24" customHeight="1" spans="1:9">
      <c r="A399" s="14" t="str">
        <f>"15106011522"</f>
        <v>15106011522</v>
      </c>
      <c r="B399" s="15" t="s">
        <v>17</v>
      </c>
      <c r="C399" s="14" t="s">
        <v>12</v>
      </c>
      <c r="D399" s="16">
        <v>46.42</v>
      </c>
      <c r="E399" s="16">
        <f t="shared" si="12"/>
        <v>27.852</v>
      </c>
      <c r="F399" s="14">
        <v>2.5</v>
      </c>
      <c r="G399" s="14"/>
      <c r="H399" s="16">
        <f t="shared" si="13"/>
        <v>30.352</v>
      </c>
      <c r="I399" s="14">
        <v>98</v>
      </c>
    </row>
    <row r="400" ht="24" customHeight="1" spans="1:9">
      <c r="A400" s="14" t="str">
        <f>"15106011410"</f>
        <v>15106011410</v>
      </c>
      <c r="B400" s="15" t="s">
        <v>17</v>
      </c>
      <c r="C400" s="14" t="s">
        <v>11</v>
      </c>
      <c r="D400" s="16">
        <v>42.86</v>
      </c>
      <c r="E400" s="16">
        <f t="shared" si="12"/>
        <v>25.716</v>
      </c>
      <c r="F400" s="14"/>
      <c r="G400" s="14"/>
      <c r="H400" s="16">
        <f t="shared" si="13"/>
        <v>25.716</v>
      </c>
      <c r="I400" s="14">
        <v>99</v>
      </c>
    </row>
    <row r="401" ht="24" customHeight="1" spans="1:9">
      <c r="A401" s="14" t="str">
        <f>"15106011314"</f>
        <v>15106011314</v>
      </c>
      <c r="B401" s="15" t="s">
        <v>17</v>
      </c>
      <c r="C401" s="14" t="s">
        <v>12</v>
      </c>
      <c r="D401" s="16">
        <v>32.04</v>
      </c>
      <c r="E401" s="16">
        <f t="shared" si="12"/>
        <v>19.224</v>
      </c>
      <c r="F401" s="14">
        <v>2.5</v>
      </c>
      <c r="G401" s="14"/>
      <c r="H401" s="16">
        <f t="shared" si="13"/>
        <v>21.724</v>
      </c>
      <c r="I401" s="14">
        <v>100</v>
      </c>
    </row>
    <row r="402" ht="24" customHeight="1" spans="1:9">
      <c r="A402" s="14" t="str">
        <f>"15106011302"</f>
        <v>15106011302</v>
      </c>
      <c r="B402" s="15" t="s">
        <v>17</v>
      </c>
      <c r="C402" s="14" t="s">
        <v>11</v>
      </c>
      <c r="D402" s="16">
        <v>-1</v>
      </c>
      <c r="E402" s="16">
        <f t="shared" si="12"/>
        <v>-0.6</v>
      </c>
      <c r="F402" s="14"/>
      <c r="G402" s="14"/>
      <c r="H402" s="16">
        <f t="shared" si="13"/>
        <v>-0.6</v>
      </c>
      <c r="I402" s="14">
        <v>101</v>
      </c>
    </row>
    <row r="403" ht="24" customHeight="1" spans="1:9">
      <c r="A403" s="14" t="str">
        <f>"15106011325"</f>
        <v>15106011325</v>
      </c>
      <c r="B403" s="15" t="s">
        <v>17</v>
      </c>
      <c r="C403" s="14" t="s">
        <v>11</v>
      </c>
      <c r="D403" s="16">
        <v>-1</v>
      </c>
      <c r="E403" s="16">
        <f t="shared" si="12"/>
        <v>-0.6</v>
      </c>
      <c r="F403" s="14"/>
      <c r="G403" s="14"/>
      <c r="H403" s="16">
        <f t="shared" si="13"/>
        <v>-0.6</v>
      </c>
      <c r="I403" s="14">
        <v>102</v>
      </c>
    </row>
    <row r="404" ht="24" customHeight="1" spans="1:9">
      <c r="A404" s="14" t="str">
        <f>"15106011330"</f>
        <v>15106011330</v>
      </c>
      <c r="B404" s="15" t="s">
        <v>17</v>
      </c>
      <c r="C404" s="14" t="s">
        <v>11</v>
      </c>
      <c r="D404" s="16">
        <v>-1</v>
      </c>
      <c r="E404" s="16">
        <f t="shared" si="12"/>
        <v>-0.6</v>
      </c>
      <c r="F404" s="14"/>
      <c r="G404" s="14"/>
      <c r="H404" s="16">
        <f t="shared" si="13"/>
        <v>-0.6</v>
      </c>
      <c r="I404" s="14">
        <v>103</v>
      </c>
    </row>
    <row r="405" ht="24" customHeight="1" spans="1:9">
      <c r="A405" s="14" t="str">
        <f>"15106011401"</f>
        <v>15106011401</v>
      </c>
      <c r="B405" s="15" t="s">
        <v>17</v>
      </c>
      <c r="C405" s="14" t="s">
        <v>11</v>
      </c>
      <c r="D405" s="16">
        <v>-1</v>
      </c>
      <c r="E405" s="16">
        <f t="shared" si="12"/>
        <v>-0.6</v>
      </c>
      <c r="F405" s="14"/>
      <c r="G405" s="14"/>
      <c r="H405" s="16">
        <f t="shared" si="13"/>
        <v>-0.6</v>
      </c>
      <c r="I405" s="14">
        <v>104</v>
      </c>
    </row>
    <row r="406" ht="24" customHeight="1" spans="1:9">
      <c r="A406" s="14" t="str">
        <f>"15106011424"</f>
        <v>15106011424</v>
      </c>
      <c r="B406" s="15" t="s">
        <v>17</v>
      </c>
      <c r="C406" s="14" t="s">
        <v>11</v>
      </c>
      <c r="D406" s="16">
        <v>-1</v>
      </c>
      <c r="E406" s="16">
        <f t="shared" si="12"/>
        <v>-0.6</v>
      </c>
      <c r="F406" s="14"/>
      <c r="G406" s="14"/>
      <c r="H406" s="16">
        <f t="shared" si="13"/>
        <v>-0.6</v>
      </c>
      <c r="I406" s="14">
        <v>105</v>
      </c>
    </row>
    <row r="407" ht="24" customHeight="1" spans="1:9">
      <c r="A407" s="14" t="str">
        <f>"15106011430"</f>
        <v>15106011430</v>
      </c>
      <c r="B407" s="15" t="s">
        <v>17</v>
      </c>
      <c r="C407" s="14" t="s">
        <v>11</v>
      </c>
      <c r="D407" s="16">
        <v>-1</v>
      </c>
      <c r="E407" s="16">
        <f t="shared" si="12"/>
        <v>-0.6</v>
      </c>
      <c r="F407" s="14"/>
      <c r="G407" s="14"/>
      <c r="H407" s="16">
        <f t="shared" si="13"/>
        <v>-0.6</v>
      </c>
      <c r="I407" s="14">
        <v>106</v>
      </c>
    </row>
    <row r="408" ht="24" customHeight="1" spans="1:9">
      <c r="A408" s="14" t="str">
        <f>"15106011525"</f>
        <v>15106011525</v>
      </c>
      <c r="B408" s="15" t="s">
        <v>17</v>
      </c>
      <c r="C408" s="14" t="s">
        <v>11</v>
      </c>
      <c r="D408" s="16">
        <v>-1</v>
      </c>
      <c r="E408" s="16">
        <f t="shared" si="12"/>
        <v>-0.6</v>
      </c>
      <c r="F408" s="14"/>
      <c r="G408" s="14"/>
      <c r="H408" s="16">
        <f t="shared" si="13"/>
        <v>-0.6</v>
      </c>
      <c r="I408" s="14">
        <v>107</v>
      </c>
    </row>
    <row r="409" ht="24" customHeight="1" spans="1:9">
      <c r="A409" s="14" t="str">
        <f>"15106011601"</f>
        <v>15106011601</v>
      </c>
      <c r="B409" s="15" t="s">
        <v>17</v>
      </c>
      <c r="C409" s="14" t="s">
        <v>11</v>
      </c>
      <c r="D409" s="16">
        <v>-1</v>
      </c>
      <c r="E409" s="16">
        <f t="shared" si="12"/>
        <v>-0.6</v>
      </c>
      <c r="F409" s="14"/>
      <c r="G409" s="14"/>
      <c r="H409" s="16">
        <f t="shared" si="13"/>
        <v>-0.6</v>
      </c>
      <c r="I409" s="14">
        <v>108</v>
      </c>
    </row>
    <row r="410" ht="24" customHeight="1" spans="1:9">
      <c r="A410" s="14" t="str">
        <f>"15106011615"</f>
        <v>15106011615</v>
      </c>
      <c r="B410" s="15" t="s">
        <v>17</v>
      </c>
      <c r="C410" s="14" t="s">
        <v>11</v>
      </c>
      <c r="D410" s="16">
        <v>-1</v>
      </c>
      <c r="E410" s="16">
        <f t="shared" si="12"/>
        <v>-0.6</v>
      </c>
      <c r="F410" s="14"/>
      <c r="G410" s="14"/>
      <c r="H410" s="16">
        <f t="shared" si="13"/>
        <v>-0.6</v>
      </c>
      <c r="I410" s="14">
        <v>109</v>
      </c>
    </row>
    <row r="411" ht="24" customHeight="1" spans="1:9">
      <c r="A411" s="14" t="str">
        <f>"15106011617"</f>
        <v>15106011617</v>
      </c>
      <c r="B411" s="15" t="s">
        <v>17</v>
      </c>
      <c r="C411" s="14" t="s">
        <v>11</v>
      </c>
      <c r="D411" s="16">
        <v>-1</v>
      </c>
      <c r="E411" s="16">
        <f t="shared" si="12"/>
        <v>-0.6</v>
      </c>
      <c r="F411" s="14"/>
      <c r="G411" s="14"/>
      <c r="H411" s="16">
        <f t="shared" si="13"/>
        <v>-0.6</v>
      </c>
      <c r="I411" s="14">
        <v>110</v>
      </c>
    </row>
    <row r="412" ht="24" customHeight="1" spans="1:9">
      <c r="A412" s="14" t="str">
        <f>"15106011618"</f>
        <v>15106011618</v>
      </c>
      <c r="B412" s="15" t="s">
        <v>17</v>
      </c>
      <c r="C412" s="14" t="s">
        <v>11</v>
      </c>
      <c r="D412" s="16">
        <v>-1</v>
      </c>
      <c r="E412" s="16">
        <f t="shared" si="12"/>
        <v>-0.6</v>
      </c>
      <c r="F412" s="14"/>
      <c r="G412" s="14"/>
      <c r="H412" s="16">
        <f t="shared" si="13"/>
        <v>-0.6</v>
      </c>
      <c r="I412" s="14">
        <v>111</v>
      </c>
    </row>
    <row r="413" ht="24" customHeight="1" spans="1:9">
      <c r="A413" s="11" t="str">
        <f>"15107012116"</f>
        <v>15107012116</v>
      </c>
      <c r="B413" s="12" t="s">
        <v>19</v>
      </c>
      <c r="C413" s="11" t="s">
        <v>11</v>
      </c>
      <c r="D413" s="13">
        <v>78.83</v>
      </c>
      <c r="E413" s="13">
        <f t="shared" si="12"/>
        <v>47.298</v>
      </c>
      <c r="F413" s="11"/>
      <c r="G413" s="11"/>
      <c r="H413" s="13">
        <f t="shared" si="13"/>
        <v>47.298</v>
      </c>
      <c r="I413" s="11">
        <v>1</v>
      </c>
    </row>
    <row r="414" ht="24" customHeight="1" spans="1:9">
      <c r="A414" s="11" t="str">
        <f>"15107012015"</f>
        <v>15107012015</v>
      </c>
      <c r="B414" s="12" t="s">
        <v>19</v>
      </c>
      <c r="C414" s="11" t="s">
        <v>11</v>
      </c>
      <c r="D414" s="13">
        <v>76.84</v>
      </c>
      <c r="E414" s="13">
        <f t="shared" si="12"/>
        <v>46.104</v>
      </c>
      <c r="F414" s="11"/>
      <c r="G414" s="11"/>
      <c r="H414" s="13">
        <f t="shared" si="13"/>
        <v>46.104</v>
      </c>
      <c r="I414" s="11">
        <v>2</v>
      </c>
    </row>
    <row r="415" ht="24" customHeight="1" spans="1:9">
      <c r="A415" s="11" t="str">
        <f>"15107012027"</f>
        <v>15107012027</v>
      </c>
      <c r="B415" s="12" t="s">
        <v>19</v>
      </c>
      <c r="C415" s="11" t="s">
        <v>11</v>
      </c>
      <c r="D415" s="13">
        <v>72.18</v>
      </c>
      <c r="E415" s="13">
        <f t="shared" si="12"/>
        <v>43.308</v>
      </c>
      <c r="F415" s="11"/>
      <c r="G415" s="11"/>
      <c r="H415" s="13">
        <f t="shared" si="13"/>
        <v>43.308</v>
      </c>
      <c r="I415" s="11">
        <v>3</v>
      </c>
    </row>
    <row r="416" ht="24" customHeight="1" spans="1:9">
      <c r="A416" s="14" t="str">
        <f>"15107012114"</f>
        <v>15107012114</v>
      </c>
      <c r="B416" s="15" t="s">
        <v>19</v>
      </c>
      <c r="C416" s="14" t="s">
        <v>11</v>
      </c>
      <c r="D416" s="16">
        <v>68.9</v>
      </c>
      <c r="E416" s="16">
        <f t="shared" si="12"/>
        <v>41.34</v>
      </c>
      <c r="F416" s="14"/>
      <c r="G416" s="14"/>
      <c r="H416" s="16">
        <f t="shared" si="13"/>
        <v>41.34</v>
      </c>
      <c r="I416" s="14">
        <v>4</v>
      </c>
    </row>
    <row r="417" ht="24" customHeight="1" spans="1:9">
      <c r="A417" s="14" t="str">
        <f>"15107012026"</f>
        <v>15107012026</v>
      </c>
      <c r="B417" s="15" t="s">
        <v>19</v>
      </c>
      <c r="C417" s="14" t="s">
        <v>11</v>
      </c>
      <c r="D417" s="16">
        <v>64.59</v>
      </c>
      <c r="E417" s="16">
        <f t="shared" si="12"/>
        <v>38.754</v>
      </c>
      <c r="F417" s="14"/>
      <c r="G417" s="14"/>
      <c r="H417" s="16">
        <f t="shared" si="13"/>
        <v>38.754</v>
      </c>
      <c r="I417" s="14">
        <v>5</v>
      </c>
    </row>
    <row r="418" ht="24" customHeight="1" spans="1:9">
      <c r="A418" s="14" t="str">
        <f>"15107012012"</f>
        <v>15107012012</v>
      </c>
      <c r="B418" s="15" t="s">
        <v>19</v>
      </c>
      <c r="C418" s="14" t="s">
        <v>11</v>
      </c>
      <c r="D418" s="16">
        <v>62.32</v>
      </c>
      <c r="E418" s="16">
        <f t="shared" si="12"/>
        <v>37.392</v>
      </c>
      <c r="F418" s="14"/>
      <c r="G418" s="14"/>
      <c r="H418" s="16">
        <f t="shared" si="13"/>
        <v>37.392</v>
      </c>
      <c r="I418" s="14">
        <v>6</v>
      </c>
    </row>
    <row r="419" ht="24" customHeight="1" spans="1:9">
      <c r="A419" s="14" t="str">
        <f>"15107012010"</f>
        <v>15107012010</v>
      </c>
      <c r="B419" s="15" t="s">
        <v>19</v>
      </c>
      <c r="C419" s="14" t="s">
        <v>11</v>
      </c>
      <c r="D419" s="16">
        <v>62.18</v>
      </c>
      <c r="E419" s="16">
        <f t="shared" si="12"/>
        <v>37.308</v>
      </c>
      <c r="F419" s="14"/>
      <c r="G419" s="14"/>
      <c r="H419" s="16">
        <f t="shared" si="13"/>
        <v>37.308</v>
      </c>
      <c r="I419" s="14">
        <v>7</v>
      </c>
    </row>
    <row r="420" ht="24" customHeight="1" spans="1:9">
      <c r="A420" s="14" t="str">
        <f>"15107012118"</f>
        <v>15107012118</v>
      </c>
      <c r="B420" s="15" t="s">
        <v>19</v>
      </c>
      <c r="C420" s="14" t="s">
        <v>11</v>
      </c>
      <c r="D420" s="16">
        <v>61.9</v>
      </c>
      <c r="E420" s="16">
        <f t="shared" si="12"/>
        <v>37.14</v>
      </c>
      <c r="F420" s="14"/>
      <c r="G420" s="14"/>
      <c r="H420" s="16">
        <f t="shared" si="13"/>
        <v>37.14</v>
      </c>
      <c r="I420" s="14">
        <v>8</v>
      </c>
    </row>
    <row r="421" ht="24" customHeight="1" spans="1:9">
      <c r="A421" s="14" t="str">
        <f>"15107012020"</f>
        <v>15107012020</v>
      </c>
      <c r="B421" s="15" t="s">
        <v>19</v>
      </c>
      <c r="C421" s="14" t="s">
        <v>11</v>
      </c>
      <c r="D421" s="16">
        <v>59.51</v>
      </c>
      <c r="E421" s="16">
        <f t="shared" si="12"/>
        <v>35.706</v>
      </c>
      <c r="F421" s="14"/>
      <c r="G421" s="14"/>
      <c r="H421" s="16">
        <f t="shared" si="13"/>
        <v>35.706</v>
      </c>
      <c r="I421" s="14">
        <v>9</v>
      </c>
    </row>
    <row r="422" ht="24" customHeight="1" spans="1:9">
      <c r="A422" s="14" t="str">
        <f>"15107012003"</f>
        <v>15107012003</v>
      </c>
      <c r="B422" s="15" t="s">
        <v>19</v>
      </c>
      <c r="C422" s="14" t="s">
        <v>11</v>
      </c>
      <c r="D422" s="16">
        <v>59.44</v>
      </c>
      <c r="E422" s="16">
        <f t="shared" si="12"/>
        <v>35.664</v>
      </c>
      <c r="F422" s="14"/>
      <c r="G422" s="14"/>
      <c r="H422" s="16">
        <f t="shared" si="13"/>
        <v>35.664</v>
      </c>
      <c r="I422" s="14">
        <v>10</v>
      </c>
    </row>
    <row r="423" ht="24" customHeight="1" spans="1:9">
      <c r="A423" s="14" t="str">
        <f>"15107012030"</f>
        <v>15107012030</v>
      </c>
      <c r="B423" s="15" t="s">
        <v>19</v>
      </c>
      <c r="C423" s="14" t="s">
        <v>11</v>
      </c>
      <c r="D423" s="16">
        <v>59.16</v>
      </c>
      <c r="E423" s="16">
        <f t="shared" si="12"/>
        <v>35.496</v>
      </c>
      <c r="F423" s="14"/>
      <c r="G423" s="14"/>
      <c r="H423" s="16">
        <f t="shared" si="13"/>
        <v>35.496</v>
      </c>
      <c r="I423" s="14">
        <v>11</v>
      </c>
    </row>
    <row r="424" ht="24" customHeight="1" spans="1:9">
      <c r="A424" s="14" t="str">
        <f>"15107012101"</f>
        <v>15107012101</v>
      </c>
      <c r="B424" s="15" t="s">
        <v>19</v>
      </c>
      <c r="C424" s="14" t="s">
        <v>11</v>
      </c>
      <c r="D424" s="16">
        <v>58.48</v>
      </c>
      <c r="E424" s="16">
        <f t="shared" si="12"/>
        <v>35.088</v>
      </c>
      <c r="F424" s="14"/>
      <c r="G424" s="14"/>
      <c r="H424" s="16">
        <f t="shared" si="13"/>
        <v>35.088</v>
      </c>
      <c r="I424" s="14">
        <v>12</v>
      </c>
    </row>
    <row r="425" ht="24" customHeight="1" spans="1:9">
      <c r="A425" s="14" t="str">
        <f>"15107012028"</f>
        <v>15107012028</v>
      </c>
      <c r="B425" s="15" t="s">
        <v>19</v>
      </c>
      <c r="C425" s="14" t="s">
        <v>11</v>
      </c>
      <c r="D425" s="16">
        <v>57.94</v>
      </c>
      <c r="E425" s="16">
        <f t="shared" si="12"/>
        <v>34.764</v>
      </c>
      <c r="F425" s="14"/>
      <c r="G425" s="14"/>
      <c r="H425" s="16">
        <f t="shared" si="13"/>
        <v>34.764</v>
      </c>
      <c r="I425" s="14">
        <v>13</v>
      </c>
    </row>
    <row r="426" ht="24" customHeight="1" spans="1:9">
      <c r="A426" s="14" t="str">
        <f>"15107012021"</f>
        <v>15107012021</v>
      </c>
      <c r="B426" s="15" t="s">
        <v>19</v>
      </c>
      <c r="C426" s="14" t="s">
        <v>12</v>
      </c>
      <c r="D426" s="16">
        <v>53.07</v>
      </c>
      <c r="E426" s="16">
        <f t="shared" si="12"/>
        <v>31.842</v>
      </c>
      <c r="F426" s="14">
        <v>2.5</v>
      </c>
      <c r="G426" s="14"/>
      <c r="H426" s="16">
        <f t="shared" si="13"/>
        <v>34.342</v>
      </c>
      <c r="I426" s="14">
        <v>14</v>
      </c>
    </row>
    <row r="427" ht="24" customHeight="1" spans="1:9">
      <c r="A427" s="14" t="str">
        <f>"15107012004"</f>
        <v>15107012004</v>
      </c>
      <c r="B427" s="15" t="s">
        <v>19</v>
      </c>
      <c r="C427" s="14" t="s">
        <v>11</v>
      </c>
      <c r="D427" s="16">
        <v>56.14</v>
      </c>
      <c r="E427" s="16">
        <f t="shared" si="12"/>
        <v>33.684</v>
      </c>
      <c r="F427" s="14"/>
      <c r="G427" s="14"/>
      <c r="H427" s="16">
        <f t="shared" si="13"/>
        <v>33.684</v>
      </c>
      <c r="I427" s="14">
        <v>15</v>
      </c>
    </row>
    <row r="428" ht="24" customHeight="1" spans="1:9">
      <c r="A428" s="14" t="str">
        <f>"15107012005"</f>
        <v>15107012005</v>
      </c>
      <c r="B428" s="15" t="s">
        <v>19</v>
      </c>
      <c r="C428" s="14" t="s">
        <v>11</v>
      </c>
      <c r="D428" s="16">
        <v>55.81</v>
      </c>
      <c r="E428" s="16">
        <f t="shared" si="12"/>
        <v>33.486</v>
      </c>
      <c r="F428" s="14"/>
      <c r="G428" s="14"/>
      <c r="H428" s="16">
        <f t="shared" si="13"/>
        <v>33.486</v>
      </c>
      <c r="I428" s="14">
        <v>16</v>
      </c>
    </row>
    <row r="429" ht="24" customHeight="1" spans="1:9">
      <c r="A429" s="14" t="str">
        <f>"15107012007"</f>
        <v>15107012007</v>
      </c>
      <c r="B429" s="15" t="s">
        <v>19</v>
      </c>
      <c r="C429" s="14" t="s">
        <v>11</v>
      </c>
      <c r="D429" s="16">
        <v>55.81</v>
      </c>
      <c r="E429" s="16">
        <f t="shared" si="12"/>
        <v>33.486</v>
      </c>
      <c r="F429" s="14"/>
      <c r="G429" s="14"/>
      <c r="H429" s="16">
        <f t="shared" si="13"/>
        <v>33.486</v>
      </c>
      <c r="I429" s="14">
        <v>17</v>
      </c>
    </row>
    <row r="430" ht="24" customHeight="1" spans="1:9">
      <c r="A430" s="14" t="str">
        <f>"15107012119"</f>
        <v>15107012119</v>
      </c>
      <c r="B430" s="15" t="s">
        <v>19</v>
      </c>
      <c r="C430" s="14" t="s">
        <v>11</v>
      </c>
      <c r="D430" s="16">
        <v>55.6</v>
      </c>
      <c r="E430" s="16">
        <f t="shared" si="12"/>
        <v>33.36</v>
      </c>
      <c r="F430" s="14"/>
      <c r="G430" s="14"/>
      <c r="H430" s="16">
        <f t="shared" si="13"/>
        <v>33.36</v>
      </c>
      <c r="I430" s="14">
        <v>18</v>
      </c>
    </row>
    <row r="431" ht="24" customHeight="1" spans="1:9">
      <c r="A431" s="14" t="str">
        <f>"15107012011"</f>
        <v>15107012011</v>
      </c>
      <c r="B431" s="15" t="s">
        <v>19</v>
      </c>
      <c r="C431" s="14" t="s">
        <v>11</v>
      </c>
      <c r="D431" s="16">
        <v>55.25</v>
      </c>
      <c r="E431" s="16">
        <f t="shared" si="12"/>
        <v>33.15</v>
      </c>
      <c r="F431" s="14"/>
      <c r="G431" s="14"/>
      <c r="H431" s="16">
        <f t="shared" si="13"/>
        <v>33.15</v>
      </c>
      <c r="I431" s="14">
        <v>19</v>
      </c>
    </row>
    <row r="432" ht="24" customHeight="1" spans="1:9">
      <c r="A432" s="14" t="str">
        <f>"15107012014"</f>
        <v>15107012014</v>
      </c>
      <c r="B432" s="15" t="s">
        <v>19</v>
      </c>
      <c r="C432" s="14" t="s">
        <v>11</v>
      </c>
      <c r="D432" s="16">
        <v>55.25</v>
      </c>
      <c r="E432" s="16">
        <f t="shared" si="12"/>
        <v>33.15</v>
      </c>
      <c r="F432" s="14"/>
      <c r="G432" s="14"/>
      <c r="H432" s="16">
        <f t="shared" si="13"/>
        <v>33.15</v>
      </c>
      <c r="I432" s="14">
        <v>20</v>
      </c>
    </row>
    <row r="433" ht="24" customHeight="1" spans="1:9">
      <c r="A433" s="14" t="str">
        <f>"15107012008"</f>
        <v>15107012008</v>
      </c>
      <c r="B433" s="15" t="s">
        <v>19</v>
      </c>
      <c r="C433" s="14" t="s">
        <v>11</v>
      </c>
      <c r="D433" s="16">
        <v>55.2</v>
      </c>
      <c r="E433" s="16">
        <f t="shared" si="12"/>
        <v>33.12</v>
      </c>
      <c r="F433" s="14"/>
      <c r="G433" s="14"/>
      <c r="H433" s="16">
        <f t="shared" si="13"/>
        <v>33.12</v>
      </c>
      <c r="I433" s="14">
        <v>21</v>
      </c>
    </row>
    <row r="434" ht="24" customHeight="1" spans="1:9">
      <c r="A434" s="14" t="str">
        <f>"15107012108"</f>
        <v>15107012108</v>
      </c>
      <c r="B434" s="15" t="s">
        <v>19</v>
      </c>
      <c r="C434" s="14" t="s">
        <v>11</v>
      </c>
      <c r="D434" s="16">
        <v>55.18</v>
      </c>
      <c r="E434" s="16">
        <f t="shared" si="12"/>
        <v>33.108</v>
      </c>
      <c r="F434" s="14"/>
      <c r="G434" s="14"/>
      <c r="H434" s="16">
        <f t="shared" si="13"/>
        <v>33.108</v>
      </c>
      <c r="I434" s="14">
        <v>22</v>
      </c>
    </row>
    <row r="435" ht="24" customHeight="1" spans="1:9">
      <c r="A435" s="14" t="str">
        <f>"15107012002"</f>
        <v>15107012002</v>
      </c>
      <c r="B435" s="15" t="s">
        <v>19</v>
      </c>
      <c r="C435" s="14" t="s">
        <v>11</v>
      </c>
      <c r="D435" s="16">
        <v>54.97</v>
      </c>
      <c r="E435" s="16">
        <f t="shared" si="12"/>
        <v>32.982</v>
      </c>
      <c r="F435" s="14"/>
      <c r="G435" s="14"/>
      <c r="H435" s="16">
        <f t="shared" si="13"/>
        <v>32.982</v>
      </c>
      <c r="I435" s="14">
        <v>23</v>
      </c>
    </row>
    <row r="436" ht="24" customHeight="1" spans="1:9">
      <c r="A436" s="14" t="str">
        <f>"15107012022"</f>
        <v>15107012022</v>
      </c>
      <c r="B436" s="15" t="s">
        <v>19</v>
      </c>
      <c r="C436" s="14" t="s">
        <v>12</v>
      </c>
      <c r="D436" s="16">
        <v>50.05</v>
      </c>
      <c r="E436" s="16">
        <f t="shared" si="12"/>
        <v>30.03</v>
      </c>
      <c r="F436" s="14">
        <v>2.5</v>
      </c>
      <c r="G436" s="14"/>
      <c r="H436" s="16">
        <f t="shared" si="13"/>
        <v>32.53</v>
      </c>
      <c r="I436" s="14">
        <v>24</v>
      </c>
    </row>
    <row r="437" ht="24" customHeight="1" spans="1:9">
      <c r="A437" s="14" t="str">
        <f>"15107012112"</f>
        <v>15107012112</v>
      </c>
      <c r="B437" s="15" t="s">
        <v>19</v>
      </c>
      <c r="C437" s="14" t="s">
        <v>11</v>
      </c>
      <c r="D437" s="16">
        <v>53.96</v>
      </c>
      <c r="E437" s="16">
        <f t="shared" si="12"/>
        <v>32.376</v>
      </c>
      <c r="F437" s="14"/>
      <c r="G437" s="14"/>
      <c r="H437" s="16">
        <f t="shared" si="13"/>
        <v>32.376</v>
      </c>
      <c r="I437" s="14">
        <v>25</v>
      </c>
    </row>
    <row r="438" ht="24" customHeight="1" spans="1:9">
      <c r="A438" s="14" t="str">
        <f>"15107012009"</f>
        <v>15107012009</v>
      </c>
      <c r="B438" s="15" t="s">
        <v>19</v>
      </c>
      <c r="C438" s="14" t="s">
        <v>11</v>
      </c>
      <c r="D438" s="16">
        <v>53</v>
      </c>
      <c r="E438" s="16">
        <f t="shared" si="12"/>
        <v>31.8</v>
      </c>
      <c r="F438" s="14"/>
      <c r="G438" s="14"/>
      <c r="H438" s="16">
        <f t="shared" si="13"/>
        <v>31.8</v>
      </c>
      <c r="I438" s="14">
        <v>26</v>
      </c>
    </row>
    <row r="439" ht="24" customHeight="1" spans="1:9">
      <c r="A439" s="14" t="str">
        <f>"15107012019"</f>
        <v>15107012019</v>
      </c>
      <c r="B439" s="15" t="s">
        <v>19</v>
      </c>
      <c r="C439" s="14" t="s">
        <v>11</v>
      </c>
      <c r="D439" s="16">
        <v>52.79</v>
      </c>
      <c r="E439" s="16">
        <f t="shared" si="12"/>
        <v>31.674</v>
      </c>
      <c r="F439" s="14"/>
      <c r="G439" s="14"/>
      <c r="H439" s="16">
        <f t="shared" si="13"/>
        <v>31.674</v>
      </c>
      <c r="I439" s="14">
        <v>27</v>
      </c>
    </row>
    <row r="440" ht="24" customHeight="1" spans="1:9">
      <c r="A440" s="14" t="str">
        <f>"15107012006"</f>
        <v>15107012006</v>
      </c>
      <c r="B440" s="15" t="s">
        <v>19</v>
      </c>
      <c r="C440" s="14" t="s">
        <v>12</v>
      </c>
      <c r="D440" s="16">
        <v>48.41</v>
      </c>
      <c r="E440" s="16">
        <f t="shared" si="12"/>
        <v>29.046</v>
      </c>
      <c r="F440" s="14">
        <v>2.5</v>
      </c>
      <c r="G440" s="14"/>
      <c r="H440" s="16">
        <f t="shared" si="13"/>
        <v>31.546</v>
      </c>
      <c r="I440" s="14">
        <v>28</v>
      </c>
    </row>
    <row r="441" ht="24" customHeight="1" spans="1:9">
      <c r="A441" s="14" t="str">
        <f>"15107012107"</f>
        <v>15107012107</v>
      </c>
      <c r="B441" s="15" t="s">
        <v>19</v>
      </c>
      <c r="C441" s="14" t="s">
        <v>11</v>
      </c>
      <c r="D441" s="16">
        <v>51.83</v>
      </c>
      <c r="E441" s="16">
        <f t="shared" si="12"/>
        <v>31.098</v>
      </c>
      <c r="F441" s="14"/>
      <c r="G441" s="14"/>
      <c r="H441" s="16">
        <f t="shared" si="13"/>
        <v>31.098</v>
      </c>
      <c r="I441" s="14">
        <v>29</v>
      </c>
    </row>
    <row r="442" ht="24" customHeight="1" spans="1:9">
      <c r="A442" s="14" t="str">
        <f>"15107012109"</f>
        <v>15107012109</v>
      </c>
      <c r="B442" s="15" t="s">
        <v>19</v>
      </c>
      <c r="C442" s="14" t="s">
        <v>11</v>
      </c>
      <c r="D442" s="16">
        <v>51.83</v>
      </c>
      <c r="E442" s="16">
        <f t="shared" si="12"/>
        <v>31.098</v>
      </c>
      <c r="F442" s="14"/>
      <c r="G442" s="14"/>
      <c r="H442" s="16">
        <f t="shared" si="13"/>
        <v>31.098</v>
      </c>
      <c r="I442" s="14">
        <v>30</v>
      </c>
    </row>
    <row r="443" ht="24" customHeight="1" spans="1:9">
      <c r="A443" s="14" t="str">
        <f>"15107012104"</f>
        <v>15107012104</v>
      </c>
      <c r="B443" s="15" t="s">
        <v>19</v>
      </c>
      <c r="C443" s="14" t="s">
        <v>11</v>
      </c>
      <c r="D443" s="16">
        <v>51.48</v>
      </c>
      <c r="E443" s="16">
        <f t="shared" si="12"/>
        <v>30.888</v>
      </c>
      <c r="F443" s="14"/>
      <c r="G443" s="14"/>
      <c r="H443" s="16">
        <f t="shared" si="13"/>
        <v>30.888</v>
      </c>
      <c r="I443" s="14">
        <v>31</v>
      </c>
    </row>
    <row r="444" ht="24" customHeight="1" spans="1:9">
      <c r="A444" s="14" t="str">
        <f>"15107012115"</f>
        <v>15107012115</v>
      </c>
      <c r="B444" s="15" t="s">
        <v>19</v>
      </c>
      <c r="C444" s="14" t="s">
        <v>11</v>
      </c>
      <c r="D444" s="16">
        <v>51.01</v>
      </c>
      <c r="E444" s="16">
        <f t="shared" si="12"/>
        <v>30.606</v>
      </c>
      <c r="F444" s="14"/>
      <c r="G444" s="14"/>
      <c r="H444" s="16">
        <f t="shared" si="13"/>
        <v>30.606</v>
      </c>
      <c r="I444" s="14">
        <v>32</v>
      </c>
    </row>
    <row r="445" ht="24" customHeight="1" spans="1:9">
      <c r="A445" s="14" t="str">
        <f>"15107012105"</f>
        <v>15107012105</v>
      </c>
      <c r="B445" s="15" t="s">
        <v>19</v>
      </c>
      <c r="C445" s="14" t="s">
        <v>11</v>
      </c>
      <c r="D445" s="16">
        <v>50.8</v>
      </c>
      <c r="E445" s="16">
        <f t="shared" si="12"/>
        <v>30.48</v>
      </c>
      <c r="F445" s="14"/>
      <c r="G445" s="14"/>
      <c r="H445" s="16">
        <f t="shared" si="13"/>
        <v>30.48</v>
      </c>
      <c r="I445" s="14">
        <v>33</v>
      </c>
    </row>
    <row r="446" ht="24" customHeight="1" spans="1:9">
      <c r="A446" s="14" t="str">
        <f>"15107012016"</f>
        <v>15107012016</v>
      </c>
      <c r="B446" s="15" t="s">
        <v>19</v>
      </c>
      <c r="C446" s="14" t="s">
        <v>11</v>
      </c>
      <c r="D446" s="16">
        <v>47.92</v>
      </c>
      <c r="E446" s="16">
        <f t="shared" si="12"/>
        <v>28.752</v>
      </c>
      <c r="F446" s="14"/>
      <c r="G446" s="14"/>
      <c r="H446" s="16">
        <f t="shared" si="13"/>
        <v>28.752</v>
      </c>
      <c r="I446" s="14">
        <v>34</v>
      </c>
    </row>
    <row r="447" ht="24" customHeight="1" spans="1:9">
      <c r="A447" s="14" t="str">
        <f>"15107012120"</f>
        <v>15107012120</v>
      </c>
      <c r="B447" s="15" t="s">
        <v>19</v>
      </c>
      <c r="C447" s="14" t="s">
        <v>11</v>
      </c>
      <c r="D447" s="16">
        <v>47.31</v>
      </c>
      <c r="E447" s="16">
        <f t="shared" si="12"/>
        <v>28.386</v>
      </c>
      <c r="F447" s="14"/>
      <c r="G447" s="14"/>
      <c r="H447" s="16">
        <f t="shared" si="13"/>
        <v>28.386</v>
      </c>
      <c r="I447" s="14">
        <v>35</v>
      </c>
    </row>
    <row r="448" ht="24" customHeight="1" spans="1:9">
      <c r="A448" s="14" t="str">
        <f>"15107012017"</f>
        <v>15107012017</v>
      </c>
      <c r="B448" s="15" t="s">
        <v>19</v>
      </c>
      <c r="C448" s="14" t="s">
        <v>11</v>
      </c>
      <c r="D448" s="16">
        <v>45.79</v>
      </c>
      <c r="E448" s="16">
        <f t="shared" si="12"/>
        <v>27.474</v>
      </c>
      <c r="F448" s="14"/>
      <c r="G448" s="14"/>
      <c r="H448" s="16">
        <f t="shared" si="13"/>
        <v>27.474</v>
      </c>
      <c r="I448" s="14">
        <v>36</v>
      </c>
    </row>
    <row r="449" ht="24" customHeight="1" spans="1:9">
      <c r="A449" s="14" t="str">
        <f>"15107012029"</f>
        <v>15107012029</v>
      </c>
      <c r="B449" s="15" t="s">
        <v>19</v>
      </c>
      <c r="C449" s="14" t="s">
        <v>11</v>
      </c>
      <c r="D449" s="16">
        <v>45.74</v>
      </c>
      <c r="E449" s="16">
        <f t="shared" si="12"/>
        <v>27.444</v>
      </c>
      <c r="F449" s="14"/>
      <c r="G449" s="14"/>
      <c r="H449" s="16">
        <f t="shared" si="13"/>
        <v>27.444</v>
      </c>
      <c r="I449" s="14">
        <v>37</v>
      </c>
    </row>
    <row r="450" ht="24" customHeight="1" spans="1:9">
      <c r="A450" s="14" t="str">
        <f>"15107012023"</f>
        <v>15107012023</v>
      </c>
      <c r="B450" s="15" t="s">
        <v>19</v>
      </c>
      <c r="C450" s="14" t="s">
        <v>11</v>
      </c>
      <c r="D450" s="16">
        <v>45.67</v>
      </c>
      <c r="E450" s="16">
        <f t="shared" si="12"/>
        <v>27.402</v>
      </c>
      <c r="F450" s="14"/>
      <c r="G450" s="14"/>
      <c r="H450" s="16">
        <f t="shared" si="13"/>
        <v>27.402</v>
      </c>
      <c r="I450" s="14">
        <v>38</v>
      </c>
    </row>
    <row r="451" ht="24" customHeight="1" spans="1:9">
      <c r="A451" s="14" t="str">
        <f>"15107012018"</f>
        <v>15107012018</v>
      </c>
      <c r="B451" s="15" t="s">
        <v>19</v>
      </c>
      <c r="C451" s="14" t="s">
        <v>11</v>
      </c>
      <c r="D451" s="16">
        <v>45.32</v>
      </c>
      <c r="E451" s="16">
        <f t="shared" ref="E451:E514" si="14">D451*0.6</f>
        <v>27.192</v>
      </c>
      <c r="F451" s="14"/>
      <c r="G451" s="14"/>
      <c r="H451" s="16">
        <f t="shared" ref="H451:H514" si="15">SUM(E451:G451)</f>
        <v>27.192</v>
      </c>
      <c r="I451" s="14">
        <v>39</v>
      </c>
    </row>
    <row r="452" ht="24" customHeight="1" spans="1:9">
      <c r="A452" s="14" t="str">
        <f>"15107012111"</f>
        <v>15107012111</v>
      </c>
      <c r="B452" s="15" t="s">
        <v>19</v>
      </c>
      <c r="C452" s="14" t="s">
        <v>11</v>
      </c>
      <c r="D452" s="16">
        <v>44.08</v>
      </c>
      <c r="E452" s="16">
        <f t="shared" si="14"/>
        <v>26.448</v>
      </c>
      <c r="F452" s="14"/>
      <c r="G452" s="14"/>
      <c r="H452" s="16">
        <f t="shared" si="15"/>
        <v>26.448</v>
      </c>
      <c r="I452" s="14">
        <v>40</v>
      </c>
    </row>
    <row r="453" ht="24" customHeight="1" spans="1:9">
      <c r="A453" s="14" t="str">
        <f>"15107012013"</f>
        <v>15107012013</v>
      </c>
      <c r="B453" s="15" t="s">
        <v>19</v>
      </c>
      <c r="C453" s="14" t="s">
        <v>11</v>
      </c>
      <c r="D453" s="16">
        <v>43.82</v>
      </c>
      <c r="E453" s="16">
        <f t="shared" si="14"/>
        <v>26.292</v>
      </c>
      <c r="F453" s="14"/>
      <c r="G453" s="14"/>
      <c r="H453" s="16">
        <f t="shared" si="15"/>
        <v>26.292</v>
      </c>
      <c r="I453" s="14">
        <v>41</v>
      </c>
    </row>
    <row r="454" ht="24" customHeight="1" spans="1:9">
      <c r="A454" s="14" t="str">
        <f>"15107012106"</f>
        <v>15107012106</v>
      </c>
      <c r="B454" s="15" t="s">
        <v>19</v>
      </c>
      <c r="C454" s="14" t="s">
        <v>11</v>
      </c>
      <c r="D454" s="16">
        <v>43.82</v>
      </c>
      <c r="E454" s="16">
        <f t="shared" si="14"/>
        <v>26.292</v>
      </c>
      <c r="F454" s="14"/>
      <c r="G454" s="14"/>
      <c r="H454" s="16">
        <f t="shared" si="15"/>
        <v>26.292</v>
      </c>
      <c r="I454" s="14">
        <v>42</v>
      </c>
    </row>
    <row r="455" ht="24" customHeight="1" spans="1:9">
      <c r="A455" s="14" t="str">
        <f>"15107012117"</f>
        <v>15107012117</v>
      </c>
      <c r="B455" s="15" t="s">
        <v>19</v>
      </c>
      <c r="C455" s="14" t="s">
        <v>11</v>
      </c>
      <c r="D455" s="16">
        <v>43.33</v>
      </c>
      <c r="E455" s="16">
        <f t="shared" si="14"/>
        <v>25.998</v>
      </c>
      <c r="F455" s="14"/>
      <c r="G455" s="14"/>
      <c r="H455" s="16">
        <f t="shared" si="15"/>
        <v>25.998</v>
      </c>
      <c r="I455" s="14">
        <v>43</v>
      </c>
    </row>
    <row r="456" ht="24" customHeight="1" spans="1:9">
      <c r="A456" s="14" t="str">
        <f>"15107012103"</f>
        <v>15107012103</v>
      </c>
      <c r="B456" s="15" t="s">
        <v>19</v>
      </c>
      <c r="C456" s="14" t="s">
        <v>11</v>
      </c>
      <c r="D456" s="16">
        <v>42.93</v>
      </c>
      <c r="E456" s="16">
        <f t="shared" si="14"/>
        <v>25.758</v>
      </c>
      <c r="F456" s="14"/>
      <c r="G456" s="14"/>
      <c r="H456" s="16">
        <f t="shared" si="15"/>
        <v>25.758</v>
      </c>
      <c r="I456" s="14">
        <v>44</v>
      </c>
    </row>
    <row r="457" ht="24" customHeight="1" spans="1:9">
      <c r="A457" s="14" t="str">
        <f>"15107012001"</f>
        <v>15107012001</v>
      </c>
      <c r="B457" s="15" t="s">
        <v>19</v>
      </c>
      <c r="C457" s="14" t="s">
        <v>11</v>
      </c>
      <c r="D457" s="16">
        <v>42.79</v>
      </c>
      <c r="E457" s="16">
        <f t="shared" si="14"/>
        <v>25.674</v>
      </c>
      <c r="F457" s="14"/>
      <c r="G457" s="14"/>
      <c r="H457" s="16">
        <f t="shared" si="15"/>
        <v>25.674</v>
      </c>
      <c r="I457" s="14">
        <v>45</v>
      </c>
    </row>
    <row r="458" ht="24" customHeight="1" spans="1:9">
      <c r="A458" s="14" t="str">
        <f>"15107012110"</f>
        <v>15107012110</v>
      </c>
      <c r="B458" s="15" t="s">
        <v>19</v>
      </c>
      <c r="C458" s="14" t="s">
        <v>11</v>
      </c>
      <c r="D458" s="16">
        <v>41.01</v>
      </c>
      <c r="E458" s="16">
        <f t="shared" si="14"/>
        <v>24.606</v>
      </c>
      <c r="F458" s="14"/>
      <c r="G458" s="14"/>
      <c r="H458" s="16">
        <f t="shared" si="15"/>
        <v>24.606</v>
      </c>
      <c r="I458" s="14">
        <v>46</v>
      </c>
    </row>
    <row r="459" ht="24" customHeight="1" spans="1:9">
      <c r="A459" s="14" t="str">
        <f>"15107012024"</f>
        <v>15107012024</v>
      </c>
      <c r="B459" s="15" t="s">
        <v>19</v>
      </c>
      <c r="C459" s="14" t="s">
        <v>11</v>
      </c>
      <c r="D459" s="16">
        <v>-1</v>
      </c>
      <c r="E459" s="16">
        <f t="shared" si="14"/>
        <v>-0.6</v>
      </c>
      <c r="F459" s="14"/>
      <c r="G459" s="14"/>
      <c r="H459" s="16">
        <f t="shared" si="15"/>
        <v>-0.6</v>
      </c>
      <c r="I459" s="14">
        <v>47</v>
      </c>
    </row>
    <row r="460" ht="24" customHeight="1" spans="1:9">
      <c r="A460" s="14" t="str">
        <f>"15107012025"</f>
        <v>15107012025</v>
      </c>
      <c r="B460" s="15" t="s">
        <v>19</v>
      </c>
      <c r="C460" s="14" t="s">
        <v>11</v>
      </c>
      <c r="D460" s="16">
        <v>-1</v>
      </c>
      <c r="E460" s="16">
        <f t="shared" si="14"/>
        <v>-0.6</v>
      </c>
      <c r="F460" s="14"/>
      <c r="G460" s="14"/>
      <c r="H460" s="16">
        <f t="shared" si="15"/>
        <v>-0.6</v>
      </c>
      <c r="I460" s="14">
        <v>48</v>
      </c>
    </row>
    <row r="461" ht="24" customHeight="1" spans="1:9">
      <c r="A461" s="14" t="str">
        <f>"15107012102"</f>
        <v>15107012102</v>
      </c>
      <c r="B461" s="15" t="s">
        <v>19</v>
      </c>
      <c r="C461" s="14" t="s">
        <v>11</v>
      </c>
      <c r="D461" s="16">
        <v>-1</v>
      </c>
      <c r="E461" s="16">
        <f t="shared" si="14"/>
        <v>-0.6</v>
      </c>
      <c r="F461" s="14"/>
      <c r="G461" s="14"/>
      <c r="H461" s="16">
        <f t="shared" si="15"/>
        <v>-0.6</v>
      </c>
      <c r="I461" s="14">
        <v>49</v>
      </c>
    </row>
    <row r="462" ht="24" customHeight="1" spans="1:9">
      <c r="A462" s="14" t="str">
        <f>"15107012113"</f>
        <v>15107012113</v>
      </c>
      <c r="B462" s="15" t="s">
        <v>19</v>
      </c>
      <c r="C462" s="14" t="s">
        <v>11</v>
      </c>
      <c r="D462" s="16">
        <v>-1</v>
      </c>
      <c r="E462" s="16">
        <f t="shared" si="14"/>
        <v>-0.6</v>
      </c>
      <c r="F462" s="14"/>
      <c r="G462" s="14"/>
      <c r="H462" s="16">
        <f t="shared" si="15"/>
        <v>-0.6</v>
      </c>
      <c r="I462" s="14">
        <v>50</v>
      </c>
    </row>
    <row r="463" ht="24" customHeight="1" spans="1:9">
      <c r="A463" s="11" t="str">
        <f>"15108012520"</f>
        <v>15108012520</v>
      </c>
      <c r="B463" s="12" t="s">
        <v>20</v>
      </c>
      <c r="C463" s="11" t="s">
        <v>11</v>
      </c>
      <c r="D463" s="13">
        <v>83.09</v>
      </c>
      <c r="E463" s="13">
        <f t="shared" si="14"/>
        <v>49.854</v>
      </c>
      <c r="F463" s="11"/>
      <c r="G463" s="11"/>
      <c r="H463" s="13">
        <f t="shared" si="15"/>
        <v>49.854</v>
      </c>
      <c r="I463" s="11">
        <v>1</v>
      </c>
    </row>
    <row r="464" ht="24" customHeight="1" spans="1:9">
      <c r="A464" s="11" t="str">
        <f>"15108012525"</f>
        <v>15108012525</v>
      </c>
      <c r="B464" s="12" t="s">
        <v>20</v>
      </c>
      <c r="C464" s="11" t="s">
        <v>11</v>
      </c>
      <c r="D464" s="13">
        <v>79.72</v>
      </c>
      <c r="E464" s="13">
        <f t="shared" si="14"/>
        <v>47.832</v>
      </c>
      <c r="F464" s="11"/>
      <c r="G464" s="11"/>
      <c r="H464" s="13">
        <f t="shared" si="15"/>
        <v>47.832</v>
      </c>
      <c r="I464" s="11">
        <v>2</v>
      </c>
    </row>
    <row r="465" ht="24" customHeight="1" spans="1:9">
      <c r="A465" s="11" t="str">
        <f>"15108012521"</f>
        <v>15108012521</v>
      </c>
      <c r="B465" s="12" t="s">
        <v>20</v>
      </c>
      <c r="C465" s="11" t="s">
        <v>12</v>
      </c>
      <c r="D465" s="13">
        <v>75.2</v>
      </c>
      <c r="E465" s="13">
        <f t="shared" si="14"/>
        <v>45.12</v>
      </c>
      <c r="F465" s="11">
        <v>2.5</v>
      </c>
      <c r="G465" s="11"/>
      <c r="H465" s="13">
        <f t="shared" si="15"/>
        <v>47.62</v>
      </c>
      <c r="I465" s="11">
        <v>3</v>
      </c>
    </row>
    <row r="466" ht="24" customHeight="1" spans="1:9">
      <c r="A466" s="14" t="str">
        <f>"15108012502"</f>
        <v>15108012502</v>
      </c>
      <c r="B466" s="15" t="s">
        <v>20</v>
      </c>
      <c r="C466" s="14" t="s">
        <v>11</v>
      </c>
      <c r="D466" s="16">
        <v>77.87</v>
      </c>
      <c r="E466" s="16">
        <f t="shared" si="14"/>
        <v>46.722</v>
      </c>
      <c r="F466" s="14"/>
      <c r="G466" s="14"/>
      <c r="H466" s="16">
        <f t="shared" si="15"/>
        <v>46.722</v>
      </c>
      <c r="I466" s="14">
        <v>4</v>
      </c>
    </row>
    <row r="467" ht="24" customHeight="1" spans="1:9">
      <c r="A467" s="14" t="str">
        <f>"15108012506"</f>
        <v>15108012506</v>
      </c>
      <c r="B467" s="15" t="s">
        <v>20</v>
      </c>
      <c r="C467" s="14" t="s">
        <v>12</v>
      </c>
      <c r="D467" s="16">
        <v>72.67</v>
      </c>
      <c r="E467" s="16">
        <f t="shared" si="14"/>
        <v>43.602</v>
      </c>
      <c r="F467" s="14">
        <v>2.5</v>
      </c>
      <c r="G467" s="14"/>
      <c r="H467" s="16">
        <f t="shared" si="15"/>
        <v>46.102</v>
      </c>
      <c r="I467" s="14">
        <v>5</v>
      </c>
    </row>
    <row r="468" ht="24" customHeight="1" spans="1:9">
      <c r="A468" s="14" t="str">
        <f>"15108012519"</f>
        <v>15108012519</v>
      </c>
      <c r="B468" s="15" t="s">
        <v>20</v>
      </c>
      <c r="C468" s="14" t="s">
        <v>11</v>
      </c>
      <c r="D468" s="16">
        <v>76.04</v>
      </c>
      <c r="E468" s="16">
        <f t="shared" si="14"/>
        <v>45.624</v>
      </c>
      <c r="F468" s="14"/>
      <c r="G468" s="14"/>
      <c r="H468" s="16">
        <f t="shared" si="15"/>
        <v>45.624</v>
      </c>
      <c r="I468" s="14">
        <v>6</v>
      </c>
    </row>
    <row r="469" ht="24" customHeight="1" spans="1:9">
      <c r="A469" s="14" t="str">
        <f>"15108012523"</f>
        <v>15108012523</v>
      </c>
      <c r="B469" s="15" t="s">
        <v>20</v>
      </c>
      <c r="C469" s="14" t="s">
        <v>11</v>
      </c>
      <c r="D469" s="16">
        <v>75.95</v>
      </c>
      <c r="E469" s="16">
        <f t="shared" si="14"/>
        <v>45.57</v>
      </c>
      <c r="F469" s="14"/>
      <c r="G469" s="14"/>
      <c r="H469" s="16">
        <f t="shared" si="15"/>
        <v>45.57</v>
      </c>
      <c r="I469" s="14">
        <v>7</v>
      </c>
    </row>
    <row r="470" ht="24" customHeight="1" spans="1:9">
      <c r="A470" s="14" t="str">
        <f>"15108012501"</f>
        <v>15108012501</v>
      </c>
      <c r="B470" s="15" t="s">
        <v>20</v>
      </c>
      <c r="C470" s="14" t="s">
        <v>11</v>
      </c>
      <c r="D470" s="16">
        <v>74.45</v>
      </c>
      <c r="E470" s="16">
        <f t="shared" si="14"/>
        <v>44.67</v>
      </c>
      <c r="F470" s="14"/>
      <c r="G470" s="14"/>
      <c r="H470" s="16">
        <f t="shared" si="15"/>
        <v>44.67</v>
      </c>
      <c r="I470" s="14">
        <v>8</v>
      </c>
    </row>
    <row r="471" ht="24" customHeight="1" spans="1:9">
      <c r="A471" s="14" t="str">
        <f>"15108012514"</f>
        <v>15108012514</v>
      </c>
      <c r="B471" s="15" t="s">
        <v>20</v>
      </c>
      <c r="C471" s="14" t="s">
        <v>11</v>
      </c>
      <c r="D471" s="16">
        <v>71.5</v>
      </c>
      <c r="E471" s="16">
        <f t="shared" si="14"/>
        <v>42.9</v>
      </c>
      <c r="F471" s="14"/>
      <c r="G471" s="14"/>
      <c r="H471" s="16">
        <f t="shared" si="15"/>
        <v>42.9</v>
      </c>
      <c r="I471" s="14">
        <v>9</v>
      </c>
    </row>
    <row r="472" ht="24" customHeight="1" spans="1:9">
      <c r="A472" s="14" t="str">
        <f>"15108012524"</f>
        <v>15108012524</v>
      </c>
      <c r="B472" s="15" t="s">
        <v>20</v>
      </c>
      <c r="C472" s="14" t="s">
        <v>11</v>
      </c>
      <c r="D472" s="16">
        <v>71.29</v>
      </c>
      <c r="E472" s="16">
        <f t="shared" si="14"/>
        <v>42.774</v>
      </c>
      <c r="F472" s="14"/>
      <c r="G472" s="14"/>
      <c r="H472" s="16">
        <f t="shared" si="15"/>
        <v>42.774</v>
      </c>
      <c r="I472" s="14">
        <v>10</v>
      </c>
    </row>
    <row r="473" ht="24" customHeight="1" spans="1:9">
      <c r="A473" s="14" t="str">
        <f>"15108012516"</f>
        <v>15108012516</v>
      </c>
      <c r="B473" s="15" t="s">
        <v>20</v>
      </c>
      <c r="C473" s="14" t="s">
        <v>11</v>
      </c>
      <c r="D473" s="16">
        <v>68.62</v>
      </c>
      <c r="E473" s="16">
        <f t="shared" si="14"/>
        <v>41.172</v>
      </c>
      <c r="F473" s="14"/>
      <c r="G473" s="14"/>
      <c r="H473" s="16">
        <f t="shared" si="15"/>
        <v>41.172</v>
      </c>
      <c r="I473" s="14">
        <v>11</v>
      </c>
    </row>
    <row r="474" ht="24" customHeight="1" spans="1:9">
      <c r="A474" s="14" t="str">
        <f>"15108012515"</f>
        <v>15108012515</v>
      </c>
      <c r="B474" s="15" t="s">
        <v>20</v>
      </c>
      <c r="C474" s="14" t="s">
        <v>11</v>
      </c>
      <c r="D474" s="16">
        <v>68.22</v>
      </c>
      <c r="E474" s="16">
        <f t="shared" si="14"/>
        <v>40.932</v>
      </c>
      <c r="F474" s="14"/>
      <c r="G474" s="14"/>
      <c r="H474" s="16">
        <f t="shared" si="15"/>
        <v>40.932</v>
      </c>
      <c r="I474" s="14">
        <v>12</v>
      </c>
    </row>
    <row r="475" ht="24" customHeight="1" spans="1:9">
      <c r="A475" s="14" t="str">
        <f>"15108012522"</f>
        <v>15108012522</v>
      </c>
      <c r="B475" s="15" t="s">
        <v>20</v>
      </c>
      <c r="C475" s="14" t="s">
        <v>11</v>
      </c>
      <c r="D475" s="16">
        <v>67.12</v>
      </c>
      <c r="E475" s="16">
        <f t="shared" si="14"/>
        <v>40.272</v>
      </c>
      <c r="F475" s="14"/>
      <c r="G475" s="14"/>
      <c r="H475" s="16">
        <f t="shared" si="15"/>
        <v>40.272</v>
      </c>
      <c r="I475" s="14">
        <v>13</v>
      </c>
    </row>
    <row r="476" ht="24" customHeight="1" spans="1:9">
      <c r="A476" s="14" t="str">
        <f>"15108012503"</f>
        <v>15108012503</v>
      </c>
      <c r="B476" s="15" t="s">
        <v>20</v>
      </c>
      <c r="C476" s="14" t="s">
        <v>11</v>
      </c>
      <c r="D476" s="16">
        <v>63.21</v>
      </c>
      <c r="E476" s="16">
        <f t="shared" si="14"/>
        <v>37.926</v>
      </c>
      <c r="F476" s="14"/>
      <c r="G476" s="14"/>
      <c r="H476" s="16">
        <f t="shared" si="15"/>
        <v>37.926</v>
      </c>
      <c r="I476" s="14">
        <v>14</v>
      </c>
    </row>
    <row r="477" ht="24" customHeight="1" spans="1:9">
      <c r="A477" s="14" t="str">
        <f>"15108012511"</f>
        <v>15108012511</v>
      </c>
      <c r="B477" s="15" t="s">
        <v>20</v>
      </c>
      <c r="C477" s="14" t="s">
        <v>11</v>
      </c>
      <c r="D477" s="16">
        <v>61.24</v>
      </c>
      <c r="E477" s="16">
        <f t="shared" si="14"/>
        <v>36.744</v>
      </c>
      <c r="F477" s="14"/>
      <c r="G477" s="14"/>
      <c r="H477" s="16">
        <f t="shared" si="15"/>
        <v>36.744</v>
      </c>
      <c r="I477" s="14">
        <v>15</v>
      </c>
    </row>
    <row r="478" ht="24" customHeight="1" spans="1:9">
      <c r="A478" s="14" t="str">
        <f>"15108012508"</f>
        <v>15108012508</v>
      </c>
      <c r="B478" s="15" t="s">
        <v>20</v>
      </c>
      <c r="C478" s="14" t="s">
        <v>11</v>
      </c>
      <c r="D478" s="16">
        <v>58.15</v>
      </c>
      <c r="E478" s="16">
        <f t="shared" si="14"/>
        <v>34.89</v>
      </c>
      <c r="F478" s="14"/>
      <c r="G478" s="14"/>
      <c r="H478" s="16">
        <f t="shared" si="15"/>
        <v>34.89</v>
      </c>
      <c r="I478" s="14">
        <v>16</v>
      </c>
    </row>
    <row r="479" ht="24" customHeight="1" spans="1:9">
      <c r="A479" s="14" t="str">
        <f>"15108012518"</f>
        <v>15108012518</v>
      </c>
      <c r="B479" s="15" t="s">
        <v>20</v>
      </c>
      <c r="C479" s="14" t="s">
        <v>12</v>
      </c>
      <c r="D479" s="16">
        <v>49.86</v>
      </c>
      <c r="E479" s="16">
        <f t="shared" si="14"/>
        <v>29.916</v>
      </c>
      <c r="F479" s="14">
        <v>2.5</v>
      </c>
      <c r="G479" s="14"/>
      <c r="H479" s="16">
        <f t="shared" si="15"/>
        <v>32.416</v>
      </c>
      <c r="I479" s="14">
        <v>17</v>
      </c>
    </row>
    <row r="480" ht="24" customHeight="1" spans="1:9">
      <c r="A480" s="14" t="str">
        <f>"15108012504"</f>
        <v>15108012504</v>
      </c>
      <c r="B480" s="15" t="s">
        <v>20</v>
      </c>
      <c r="C480" s="14" t="s">
        <v>12</v>
      </c>
      <c r="D480" s="16">
        <v>46.23</v>
      </c>
      <c r="E480" s="16">
        <f t="shared" si="14"/>
        <v>27.738</v>
      </c>
      <c r="F480" s="14">
        <v>2.5</v>
      </c>
      <c r="G480" s="14"/>
      <c r="H480" s="16">
        <f t="shared" si="15"/>
        <v>30.238</v>
      </c>
      <c r="I480" s="14">
        <v>18</v>
      </c>
    </row>
    <row r="481" ht="24" customHeight="1" spans="1:9">
      <c r="A481" s="14" t="str">
        <f>"15108012517"</f>
        <v>15108012517</v>
      </c>
      <c r="B481" s="15" t="s">
        <v>20</v>
      </c>
      <c r="C481" s="14" t="s">
        <v>12</v>
      </c>
      <c r="D481" s="16">
        <v>44.9</v>
      </c>
      <c r="E481" s="16">
        <f t="shared" si="14"/>
        <v>26.94</v>
      </c>
      <c r="F481" s="14">
        <v>2.5</v>
      </c>
      <c r="G481" s="14"/>
      <c r="H481" s="16">
        <f t="shared" si="15"/>
        <v>29.44</v>
      </c>
      <c r="I481" s="14">
        <v>19</v>
      </c>
    </row>
    <row r="482" ht="24" customHeight="1" spans="1:9">
      <c r="A482" s="14" t="str">
        <f>"15108012507"</f>
        <v>15108012507</v>
      </c>
      <c r="B482" s="15" t="s">
        <v>20</v>
      </c>
      <c r="C482" s="14" t="s">
        <v>12</v>
      </c>
      <c r="D482" s="16">
        <v>41.57</v>
      </c>
      <c r="E482" s="16">
        <f t="shared" si="14"/>
        <v>24.942</v>
      </c>
      <c r="F482" s="14">
        <v>2.5</v>
      </c>
      <c r="G482" s="14"/>
      <c r="H482" s="16">
        <f t="shared" si="15"/>
        <v>27.442</v>
      </c>
      <c r="I482" s="14">
        <v>20</v>
      </c>
    </row>
    <row r="483" ht="24" customHeight="1" spans="1:9">
      <c r="A483" s="14" t="str">
        <f>"15108012512"</f>
        <v>15108012512</v>
      </c>
      <c r="B483" s="15" t="s">
        <v>20</v>
      </c>
      <c r="C483" s="14" t="s">
        <v>12</v>
      </c>
      <c r="D483" s="16">
        <v>37.33</v>
      </c>
      <c r="E483" s="16">
        <f t="shared" si="14"/>
        <v>22.398</v>
      </c>
      <c r="F483" s="14">
        <v>2.5</v>
      </c>
      <c r="G483" s="14"/>
      <c r="H483" s="16">
        <f t="shared" si="15"/>
        <v>24.898</v>
      </c>
      <c r="I483" s="14">
        <v>21</v>
      </c>
    </row>
    <row r="484" ht="24" customHeight="1" spans="1:9">
      <c r="A484" s="14" t="str">
        <f>"15108012505"</f>
        <v>15108012505</v>
      </c>
      <c r="B484" s="15" t="s">
        <v>20</v>
      </c>
      <c r="C484" s="14" t="s">
        <v>12</v>
      </c>
      <c r="D484" s="16">
        <v>-1</v>
      </c>
      <c r="E484" s="16">
        <f t="shared" si="14"/>
        <v>-0.6</v>
      </c>
      <c r="F484" s="14">
        <v>2.5</v>
      </c>
      <c r="G484" s="14"/>
      <c r="H484" s="16">
        <f t="shared" si="15"/>
        <v>1.9</v>
      </c>
      <c r="I484" s="14">
        <v>22</v>
      </c>
    </row>
    <row r="485" ht="24" customHeight="1" spans="1:9">
      <c r="A485" s="14" t="str">
        <f>"15108012510"</f>
        <v>15108012510</v>
      </c>
      <c r="B485" s="15" t="s">
        <v>20</v>
      </c>
      <c r="C485" s="14" t="s">
        <v>12</v>
      </c>
      <c r="D485" s="16">
        <v>-1</v>
      </c>
      <c r="E485" s="16">
        <f t="shared" si="14"/>
        <v>-0.6</v>
      </c>
      <c r="F485" s="14">
        <v>2.5</v>
      </c>
      <c r="G485" s="14"/>
      <c r="H485" s="16">
        <f t="shared" si="15"/>
        <v>1.9</v>
      </c>
      <c r="I485" s="14">
        <v>23</v>
      </c>
    </row>
    <row r="486" ht="24" customHeight="1" spans="1:9">
      <c r="A486" s="14" t="str">
        <f>"15108012513"</f>
        <v>15108012513</v>
      </c>
      <c r="B486" s="15" t="s">
        <v>20</v>
      </c>
      <c r="C486" s="14" t="s">
        <v>12</v>
      </c>
      <c r="D486" s="16">
        <v>-1</v>
      </c>
      <c r="E486" s="16">
        <f t="shared" si="14"/>
        <v>-0.6</v>
      </c>
      <c r="F486" s="14">
        <v>2.5</v>
      </c>
      <c r="G486" s="14"/>
      <c r="H486" s="16">
        <f t="shared" si="15"/>
        <v>1.9</v>
      </c>
      <c r="I486" s="14">
        <v>24</v>
      </c>
    </row>
    <row r="487" ht="24" customHeight="1" spans="1:9">
      <c r="A487" s="14" t="str">
        <f>"15108012509"</f>
        <v>15108012509</v>
      </c>
      <c r="B487" s="15" t="s">
        <v>20</v>
      </c>
      <c r="C487" s="14" t="s">
        <v>11</v>
      </c>
      <c r="D487" s="16">
        <v>-1</v>
      </c>
      <c r="E487" s="16">
        <f t="shared" si="14"/>
        <v>-0.6</v>
      </c>
      <c r="F487" s="14"/>
      <c r="G487" s="14"/>
      <c r="H487" s="16">
        <f t="shared" si="15"/>
        <v>-0.6</v>
      </c>
      <c r="I487" s="14">
        <v>25</v>
      </c>
    </row>
    <row r="488" ht="24" customHeight="1" spans="1:9">
      <c r="A488" s="11" t="str">
        <f>"15109010920"</f>
        <v>15109010920</v>
      </c>
      <c r="B488" s="12" t="s">
        <v>21</v>
      </c>
      <c r="C488" s="11" t="s">
        <v>11</v>
      </c>
      <c r="D488" s="13">
        <v>81.17</v>
      </c>
      <c r="E488" s="13">
        <f t="shared" si="14"/>
        <v>48.702</v>
      </c>
      <c r="F488" s="11"/>
      <c r="G488" s="11"/>
      <c r="H488" s="13">
        <f t="shared" si="15"/>
        <v>48.702</v>
      </c>
      <c r="I488" s="11">
        <v>1</v>
      </c>
    </row>
    <row r="489" ht="24" customHeight="1" spans="1:9">
      <c r="A489" s="11" t="str">
        <f>"15109010918"</f>
        <v>15109010918</v>
      </c>
      <c r="B489" s="12" t="s">
        <v>21</v>
      </c>
      <c r="C489" s="11" t="s">
        <v>11</v>
      </c>
      <c r="D489" s="13">
        <v>78.62</v>
      </c>
      <c r="E489" s="13">
        <f t="shared" si="14"/>
        <v>47.172</v>
      </c>
      <c r="F489" s="11"/>
      <c r="G489" s="11"/>
      <c r="H489" s="13">
        <f t="shared" si="15"/>
        <v>47.172</v>
      </c>
      <c r="I489" s="11">
        <v>2</v>
      </c>
    </row>
    <row r="490" ht="24" customHeight="1" spans="1:9">
      <c r="A490" s="11" t="str">
        <f>"15109010914"</f>
        <v>15109010914</v>
      </c>
      <c r="B490" s="12" t="s">
        <v>21</v>
      </c>
      <c r="C490" s="11" t="s">
        <v>11</v>
      </c>
      <c r="D490" s="13">
        <v>78.08</v>
      </c>
      <c r="E490" s="13">
        <f t="shared" si="14"/>
        <v>46.848</v>
      </c>
      <c r="F490" s="11"/>
      <c r="G490" s="11"/>
      <c r="H490" s="13">
        <f t="shared" si="15"/>
        <v>46.848</v>
      </c>
      <c r="I490" s="11">
        <v>3</v>
      </c>
    </row>
    <row r="491" ht="24" customHeight="1" spans="1:9">
      <c r="A491" s="14" t="str">
        <f>"15109010915"</f>
        <v>15109010915</v>
      </c>
      <c r="B491" s="15" t="s">
        <v>21</v>
      </c>
      <c r="C491" s="14" t="s">
        <v>11</v>
      </c>
      <c r="D491" s="16">
        <v>77.8</v>
      </c>
      <c r="E491" s="16">
        <f t="shared" si="14"/>
        <v>46.68</v>
      </c>
      <c r="F491" s="14"/>
      <c r="G491" s="14"/>
      <c r="H491" s="16">
        <f t="shared" si="15"/>
        <v>46.68</v>
      </c>
      <c r="I491" s="14">
        <v>4</v>
      </c>
    </row>
    <row r="492" ht="24" customHeight="1" spans="1:9">
      <c r="A492" s="14" t="str">
        <f>"15109010902"</f>
        <v>15109010902</v>
      </c>
      <c r="B492" s="15" t="s">
        <v>21</v>
      </c>
      <c r="C492" s="14" t="s">
        <v>11</v>
      </c>
      <c r="D492" s="16">
        <v>77.73</v>
      </c>
      <c r="E492" s="16">
        <f t="shared" si="14"/>
        <v>46.638</v>
      </c>
      <c r="F492" s="14"/>
      <c r="G492" s="14"/>
      <c r="H492" s="16">
        <f t="shared" si="15"/>
        <v>46.638</v>
      </c>
      <c r="I492" s="14">
        <v>5</v>
      </c>
    </row>
    <row r="493" ht="24" customHeight="1" spans="1:9">
      <c r="A493" s="14" t="str">
        <f>"15109010903"</f>
        <v>15109010903</v>
      </c>
      <c r="B493" s="15" t="s">
        <v>21</v>
      </c>
      <c r="C493" s="14" t="s">
        <v>11</v>
      </c>
      <c r="D493" s="16">
        <v>77.66</v>
      </c>
      <c r="E493" s="16">
        <f t="shared" si="14"/>
        <v>46.596</v>
      </c>
      <c r="F493" s="14"/>
      <c r="G493" s="14"/>
      <c r="H493" s="16">
        <f t="shared" si="15"/>
        <v>46.596</v>
      </c>
      <c r="I493" s="14">
        <v>6</v>
      </c>
    </row>
    <row r="494" ht="24" customHeight="1" spans="1:9">
      <c r="A494" s="14" t="str">
        <f>"15109010908"</f>
        <v>15109010908</v>
      </c>
      <c r="B494" s="15" t="s">
        <v>21</v>
      </c>
      <c r="C494" s="14" t="s">
        <v>11</v>
      </c>
      <c r="D494" s="16">
        <v>76.16</v>
      </c>
      <c r="E494" s="16">
        <f t="shared" si="14"/>
        <v>45.696</v>
      </c>
      <c r="F494" s="14"/>
      <c r="G494" s="14"/>
      <c r="H494" s="16">
        <f t="shared" si="15"/>
        <v>45.696</v>
      </c>
      <c r="I494" s="14">
        <v>7</v>
      </c>
    </row>
    <row r="495" ht="24" customHeight="1" spans="1:9">
      <c r="A495" s="14" t="str">
        <f>"15109010911"</f>
        <v>15109010911</v>
      </c>
      <c r="B495" s="15" t="s">
        <v>21</v>
      </c>
      <c r="C495" s="14" t="s">
        <v>11</v>
      </c>
      <c r="D495" s="16">
        <v>76.02</v>
      </c>
      <c r="E495" s="16">
        <f t="shared" si="14"/>
        <v>45.612</v>
      </c>
      <c r="F495" s="14"/>
      <c r="G495" s="14"/>
      <c r="H495" s="16">
        <f t="shared" si="15"/>
        <v>45.612</v>
      </c>
      <c r="I495" s="14">
        <v>8</v>
      </c>
    </row>
    <row r="496" ht="24" customHeight="1" spans="1:9">
      <c r="A496" s="14" t="str">
        <f>"15109010909"</f>
        <v>15109010909</v>
      </c>
      <c r="B496" s="15" t="s">
        <v>21</v>
      </c>
      <c r="C496" s="14" t="s">
        <v>11</v>
      </c>
      <c r="D496" s="16">
        <v>75.95</v>
      </c>
      <c r="E496" s="16">
        <f t="shared" si="14"/>
        <v>45.57</v>
      </c>
      <c r="F496" s="14"/>
      <c r="G496" s="14"/>
      <c r="H496" s="16">
        <f t="shared" si="15"/>
        <v>45.57</v>
      </c>
      <c r="I496" s="14">
        <v>9</v>
      </c>
    </row>
    <row r="497" ht="24" customHeight="1" spans="1:9">
      <c r="A497" s="14" t="str">
        <f>"15109010917"</f>
        <v>15109010917</v>
      </c>
      <c r="B497" s="15" t="s">
        <v>21</v>
      </c>
      <c r="C497" s="14" t="s">
        <v>11</v>
      </c>
      <c r="D497" s="16">
        <v>72.18</v>
      </c>
      <c r="E497" s="16">
        <f t="shared" si="14"/>
        <v>43.308</v>
      </c>
      <c r="F497" s="14"/>
      <c r="G497" s="14"/>
      <c r="H497" s="16">
        <f t="shared" si="15"/>
        <v>43.308</v>
      </c>
      <c r="I497" s="14">
        <v>10</v>
      </c>
    </row>
    <row r="498" ht="24" customHeight="1" spans="1:9">
      <c r="A498" s="14" t="str">
        <f>"15109010905"</f>
        <v>15109010905</v>
      </c>
      <c r="B498" s="15" t="s">
        <v>21</v>
      </c>
      <c r="C498" s="14" t="s">
        <v>11</v>
      </c>
      <c r="D498" s="16">
        <v>71.85</v>
      </c>
      <c r="E498" s="16">
        <f t="shared" si="14"/>
        <v>43.11</v>
      </c>
      <c r="F498" s="14"/>
      <c r="G498" s="14"/>
      <c r="H498" s="16">
        <f t="shared" si="15"/>
        <v>43.11</v>
      </c>
      <c r="I498" s="14">
        <v>11</v>
      </c>
    </row>
    <row r="499" ht="24" customHeight="1" spans="1:9">
      <c r="A499" s="14" t="str">
        <f>"15109010916"</f>
        <v>15109010916</v>
      </c>
      <c r="B499" s="15" t="s">
        <v>21</v>
      </c>
      <c r="C499" s="14" t="s">
        <v>11</v>
      </c>
      <c r="D499" s="16">
        <v>71.71</v>
      </c>
      <c r="E499" s="16">
        <f t="shared" si="14"/>
        <v>43.026</v>
      </c>
      <c r="F499" s="14"/>
      <c r="G499" s="14"/>
      <c r="H499" s="16">
        <f t="shared" si="15"/>
        <v>43.026</v>
      </c>
      <c r="I499" s="14">
        <v>12</v>
      </c>
    </row>
    <row r="500" ht="24" customHeight="1" spans="1:9">
      <c r="A500" s="14" t="str">
        <f>"15109010907"</f>
        <v>15109010907</v>
      </c>
      <c r="B500" s="15" t="s">
        <v>21</v>
      </c>
      <c r="C500" s="14" t="s">
        <v>11</v>
      </c>
      <c r="D500" s="16">
        <v>69.88</v>
      </c>
      <c r="E500" s="16">
        <f t="shared" si="14"/>
        <v>41.928</v>
      </c>
      <c r="F500" s="14"/>
      <c r="G500" s="14"/>
      <c r="H500" s="16">
        <f t="shared" si="15"/>
        <v>41.928</v>
      </c>
      <c r="I500" s="14">
        <v>13</v>
      </c>
    </row>
    <row r="501" ht="24" customHeight="1" spans="1:9">
      <c r="A501" s="14" t="str">
        <f>"15109010921"</f>
        <v>15109010921</v>
      </c>
      <c r="B501" s="15" t="s">
        <v>21</v>
      </c>
      <c r="C501" s="14" t="s">
        <v>11</v>
      </c>
      <c r="D501" s="16">
        <v>68.9</v>
      </c>
      <c r="E501" s="16">
        <f t="shared" si="14"/>
        <v>41.34</v>
      </c>
      <c r="F501" s="14"/>
      <c r="G501" s="14"/>
      <c r="H501" s="16">
        <f t="shared" si="15"/>
        <v>41.34</v>
      </c>
      <c r="I501" s="14">
        <v>14</v>
      </c>
    </row>
    <row r="502" ht="24" customHeight="1" spans="1:9">
      <c r="A502" s="14" t="str">
        <f>"15109010901"</f>
        <v>15109010901</v>
      </c>
      <c r="B502" s="15" t="s">
        <v>21</v>
      </c>
      <c r="C502" s="14" t="s">
        <v>11</v>
      </c>
      <c r="D502" s="16">
        <v>68.55</v>
      </c>
      <c r="E502" s="16">
        <f t="shared" si="14"/>
        <v>41.13</v>
      </c>
      <c r="F502" s="14"/>
      <c r="G502" s="14"/>
      <c r="H502" s="16">
        <f t="shared" si="15"/>
        <v>41.13</v>
      </c>
      <c r="I502" s="14">
        <v>15</v>
      </c>
    </row>
    <row r="503" ht="24" customHeight="1" spans="1:9">
      <c r="A503" s="14" t="str">
        <f>"15109010906"</f>
        <v>15109010906</v>
      </c>
      <c r="B503" s="15" t="s">
        <v>21</v>
      </c>
      <c r="C503" s="14" t="s">
        <v>11</v>
      </c>
      <c r="D503" s="16">
        <v>66.37</v>
      </c>
      <c r="E503" s="16">
        <f t="shared" si="14"/>
        <v>39.822</v>
      </c>
      <c r="F503" s="14"/>
      <c r="G503" s="14"/>
      <c r="H503" s="16">
        <f t="shared" si="15"/>
        <v>39.822</v>
      </c>
      <c r="I503" s="14">
        <v>16</v>
      </c>
    </row>
    <row r="504" ht="24" customHeight="1" spans="1:9">
      <c r="A504" s="14" t="str">
        <f>"15109010904"</f>
        <v>15109010904</v>
      </c>
      <c r="B504" s="15" t="s">
        <v>21</v>
      </c>
      <c r="C504" s="14" t="s">
        <v>11</v>
      </c>
      <c r="D504" s="16">
        <v>65.74</v>
      </c>
      <c r="E504" s="16">
        <f t="shared" si="14"/>
        <v>39.444</v>
      </c>
      <c r="F504" s="14"/>
      <c r="G504" s="14"/>
      <c r="H504" s="16">
        <f t="shared" si="15"/>
        <v>39.444</v>
      </c>
      <c r="I504" s="14">
        <v>17</v>
      </c>
    </row>
    <row r="505" ht="24" customHeight="1" spans="1:9">
      <c r="A505" s="14" t="str">
        <f>"15109010922"</f>
        <v>15109010922</v>
      </c>
      <c r="B505" s="15" t="s">
        <v>21</v>
      </c>
      <c r="C505" s="14" t="s">
        <v>11</v>
      </c>
      <c r="D505" s="16">
        <v>62.86</v>
      </c>
      <c r="E505" s="16">
        <f t="shared" si="14"/>
        <v>37.716</v>
      </c>
      <c r="F505" s="14"/>
      <c r="G505" s="14"/>
      <c r="H505" s="16">
        <f t="shared" si="15"/>
        <v>37.716</v>
      </c>
      <c r="I505" s="14">
        <v>18</v>
      </c>
    </row>
    <row r="506" ht="24" customHeight="1" spans="1:9">
      <c r="A506" s="14" t="str">
        <f>"15109010919"</f>
        <v>15109010919</v>
      </c>
      <c r="B506" s="15" t="s">
        <v>21</v>
      </c>
      <c r="C506" s="14" t="s">
        <v>12</v>
      </c>
      <c r="D506" s="16">
        <v>38.27</v>
      </c>
      <c r="E506" s="16">
        <f t="shared" si="14"/>
        <v>22.962</v>
      </c>
      <c r="F506" s="14">
        <v>2.5</v>
      </c>
      <c r="G506" s="14"/>
      <c r="H506" s="16">
        <f t="shared" si="15"/>
        <v>25.462</v>
      </c>
      <c r="I506" s="14">
        <v>19</v>
      </c>
    </row>
    <row r="507" ht="24" customHeight="1" spans="1:9">
      <c r="A507" s="14" t="str">
        <f>"15109010913"</f>
        <v>15109010913</v>
      </c>
      <c r="B507" s="15" t="s">
        <v>21</v>
      </c>
      <c r="C507" s="14" t="s">
        <v>12</v>
      </c>
      <c r="D507" s="16">
        <v>25.11</v>
      </c>
      <c r="E507" s="16">
        <f t="shared" si="14"/>
        <v>15.066</v>
      </c>
      <c r="F507" s="14">
        <v>2.5</v>
      </c>
      <c r="G507" s="14"/>
      <c r="H507" s="16">
        <f t="shared" si="15"/>
        <v>17.566</v>
      </c>
      <c r="I507" s="14">
        <v>20</v>
      </c>
    </row>
    <row r="508" ht="24" customHeight="1" spans="1:9">
      <c r="A508" s="14" t="str">
        <f>"15109010910"</f>
        <v>15109010910</v>
      </c>
      <c r="B508" s="15" t="s">
        <v>21</v>
      </c>
      <c r="C508" s="14" t="s">
        <v>11</v>
      </c>
      <c r="D508" s="16">
        <v>-1</v>
      </c>
      <c r="E508" s="16">
        <f t="shared" si="14"/>
        <v>-0.6</v>
      </c>
      <c r="F508" s="14"/>
      <c r="G508" s="14"/>
      <c r="H508" s="16">
        <f t="shared" si="15"/>
        <v>-0.6</v>
      </c>
      <c r="I508" s="14">
        <v>21</v>
      </c>
    </row>
    <row r="509" ht="24" customHeight="1" spans="1:9">
      <c r="A509" s="14" t="str">
        <f>"15109010912"</f>
        <v>15109010912</v>
      </c>
      <c r="B509" s="15" t="s">
        <v>21</v>
      </c>
      <c r="C509" s="14" t="s">
        <v>11</v>
      </c>
      <c r="D509" s="16">
        <v>-1</v>
      </c>
      <c r="E509" s="16">
        <f t="shared" si="14"/>
        <v>-0.6</v>
      </c>
      <c r="F509" s="14"/>
      <c r="G509" s="14"/>
      <c r="H509" s="16">
        <f t="shared" si="15"/>
        <v>-0.6</v>
      </c>
      <c r="I509" s="14">
        <v>22</v>
      </c>
    </row>
    <row r="510" ht="24" customHeight="1" spans="1:9">
      <c r="A510" s="11" t="str">
        <f>"15110012804"</f>
        <v>15110012804</v>
      </c>
      <c r="B510" s="12" t="s">
        <v>22</v>
      </c>
      <c r="C510" s="11" t="s">
        <v>11</v>
      </c>
      <c r="D510" s="13">
        <v>76.44</v>
      </c>
      <c r="E510" s="13">
        <f t="shared" si="14"/>
        <v>45.864</v>
      </c>
      <c r="F510" s="11"/>
      <c r="G510" s="11"/>
      <c r="H510" s="13">
        <f t="shared" si="15"/>
        <v>45.864</v>
      </c>
      <c r="I510" s="11">
        <v>1</v>
      </c>
    </row>
    <row r="511" ht="24" customHeight="1" spans="1:9">
      <c r="A511" s="11" t="str">
        <f>"15110012810"</f>
        <v>15110012810</v>
      </c>
      <c r="B511" s="12" t="s">
        <v>22</v>
      </c>
      <c r="C511" s="11" t="s">
        <v>11</v>
      </c>
      <c r="D511" s="13">
        <v>73.98</v>
      </c>
      <c r="E511" s="13">
        <f t="shared" si="14"/>
        <v>44.388</v>
      </c>
      <c r="F511" s="11"/>
      <c r="G511" s="11"/>
      <c r="H511" s="13">
        <f t="shared" si="15"/>
        <v>44.388</v>
      </c>
      <c r="I511" s="11">
        <v>2</v>
      </c>
    </row>
    <row r="512" ht="24" customHeight="1" spans="1:9">
      <c r="A512" s="11" t="str">
        <f>"15110012818"</f>
        <v>15110012818</v>
      </c>
      <c r="B512" s="12" t="s">
        <v>22</v>
      </c>
      <c r="C512" s="11" t="s">
        <v>11</v>
      </c>
      <c r="D512" s="13">
        <v>70.82</v>
      </c>
      <c r="E512" s="13">
        <f t="shared" si="14"/>
        <v>42.492</v>
      </c>
      <c r="F512" s="11"/>
      <c r="G512" s="11"/>
      <c r="H512" s="13">
        <f t="shared" si="15"/>
        <v>42.492</v>
      </c>
      <c r="I512" s="11">
        <v>3</v>
      </c>
    </row>
    <row r="513" ht="24" customHeight="1" spans="1:9">
      <c r="A513" s="14" t="str">
        <f>"15110012806"</f>
        <v>15110012806</v>
      </c>
      <c r="B513" s="15" t="s">
        <v>22</v>
      </c>
      <c r="C513" s="14" t="s">
        <v>11</v>
      </c>
      <c r="D513" s="16">
        <v>70.33</v>
      </c>
      <c r="E513" s="16">
        <f t="shared" si="14"/>
        <v>42.198</v>
      </c>
      <c r="F513" s="14"/>
      <c r="G513" s="14"/>
      <c r="H513" s="16">
        <f t="shared" si="15"/>
        <v>42.198</v>
      </c>
      <c r="I513" s="14">
        <v>4</v>
      </c>
    </row>
    <row r="514" ht="24" customHeight="1" spans="1:9">
      <c r="A514" s="14" t="str">
        <f>"15110012803"</f>
        <v>15110012803</v>
      </c>
      <c r="B514" s="15" t="s">
        <v>22</v>
      </c>
      <c r="C514" s="14" t="s">
        <v>11</v>
      </c>
      <c r="D514" s="16">
        <v>70.26</v>
      </c>
      <c r="E514" s="16">
        <f t="shared" si="14"/>
        <v>42.156</v>
      </c>
      <c r="F514" s="14"/>
      <c r="G514" s="14"/>
      <c r="H514" s="16">
        <f t="shared" si="15"/>
        <v>42.156</v>
      </c>
      <c r="I514" s="14">
        <v>5</v>
      </c>
    </row>
    <row r="515" ht="24" customHeight="1" spans="1:9">
      <c r="A515" s="14" t="str">
        <f>"15110012807"</f>
        <v>15110012807</v>
      </c>
      <c r="B515" s="15" t="s">
        <v>22</v>
      </c>
      <c r="C515" s="14" t="s">
        <v>11</v>
      </c>
      <c r="D515" s="16">
        <v>69.72</v>
      </c>
      <c r="E515" s="16">
        <f t="shared" ref="E515:E578" si="16">D515*0.6</f>
        <v>41.832</v>
      </c>
      <c r="F515" s="14"/>
      <c r="G515" s="14"/>
      <c r="H515" s="16">
        <f t="shared" ref="H515:H578" si="17">SUM(E515:G515)</f>
        <v>41.832</v>
      </c>
      <c r="I515" s="14">
        <v>6</v>
      </c>
    </row>
    <row r="516" ht="24" customHeight="1" spans="1:9">
      <c r="A516" s="14" t="str">
        <f>"15110012812"</f>
        <v>15110012812</v>
      </c>
      <c r="B516" s="15" t="s">
        <v>22</v>
      </c>
      <c r="C516" s="14" t="s">
        <v>12</v>
      </c>
      <c r="D516" s="16">
        <v>63.98</v>
      </c>
      <c r="E516" s="16">
        <f t="shared" si="16"/>
        <v>38.388</v>
      </c>
      <c r="F516" s="14">
        <v>2.5</v>
      </c>
      <c r="G516" s="14"/>
      <c r="H516" s="16">
        <f t="shared" si="17"/>
        <v>40.888</v>
      </c>
      <c r="I516" s="14">
        <v>7</v>
      </c>
    </row>
    <row r="517" ht="24" customHeight="1" spans="1:9">
      <c r="A517" s="14" t="str">
        <f>"15110012811"</f>
        <v>15110012811</v>
      </c>
      <c r="B517" s="15" t="s">
        <v>22</v>
      </c>
      <c r="C517" s="14" t="s">
        <v>11</v>
      </c>
      <c r="D517" s="16">
        <v>67.61</v>
      </c>
      <c r="E517" s="16">
        <f t="shared" si="16"/>
        <v>40.566</v>
      </c>
      <c r="F517" s="14"/>
      <c r="G517" s="14"/>
      <c r="H517" s="16">
        <f t="shared" si="17"/>
        <v>40.566</v>
      </c>
      <c r="I517" s="14">
        <v>8</v>
      </c>
    </row>
    <row r="518" ht="24" customHeight="1" spans="1:9">
      <c r="A518" s="14" t="str">
        <f>"15110012816"</f>
        <v>15110012816</v>
      </c>
      <c r="B518" s="15" t="s">
        <v>22</v>
      </c>
      <c r="C518" s="14" t="s">
        <v>12</v>
      </c>
      <c r="D518" s="16">
        <v>62.86</v>
      </c>
      <c r="E518" s="16">
        <f t="shared" si="16"/>
        <v>37.716</v>
      </c>
      <c r="F518" s="14">
        <v>2.5</v>
      </c>
      <c r="G518" s="14"/>
      <c r="H518" s="16">
        <f t="shared" si="17"/>
        <v>40.216</v>
      </c>
      <c r="I518" s="14">
        <v>9</v>
      </c>
    </row>
    <row r="519" ht="24" customHeight="1" spans="1:9">
      <c r="A519" s="14" t="str">
        <f>"15110012808"</f>
        <v>15110012808</v>
      </c>
      <c r="B519" s="15" t="s">
        <v>22</v>
      </c>
      <c r="C519" s="14" t="s">
        <v>11</v>
      </c>
      <c r="D519" s="16">
        <v>66.09</v>
      </c>
      <c r="E519" s="16">
        <f t="shared" si="16"/>
        <v>39.654</v>
      </c>
      <c r="F519" s="14"/>
      <c r="G519" s="14"/>
      <c r="H519" s="16">
        <f t="shared" si="17"/>
        <v>39.654</v>
      </c>
      <c r="I519" s="14">
        <v>10</v>
      </c>
    </row>
    <row r="520" ht="24" customHeight="1" spans="1:9">
      <c r="A520" s="14" t="str">
        <f>"15110012805"</f>
        <v>15110012805</v>
      </c>
      <c r="B520" s="15" t="s">
        <v>22</v>
      </c>
      <c r="C520" s="14" t="s">
        <v>11</v>
      </c>
      <c r="D520" s="16">
        <v>65.95</v>
      </c>
      <c r="E520" s="16">
        <f t="shared" si="16"/>
        <v>39.57</v>
      </c>
      <c r="F520" s="14"/>
      <c r="G520" s="14"/>
      <c r="H520" s="16">
        <f t="shared" si="17"/>
        <v>39.57</v>
      </c>
      <c r="I520" s="14">
        <v>11</v>
      </c>
    </row>
    <row r="521" ht="24" customHeight="1" spans="1:9">
      <c r="A521" s="14" t="str">
        <f>"15110012817"</f>
        <v>15110012817</v>
      </c>
      <c r="B521" s="15" t="s">
        <v>22</v>
      </c>
      <c r="C521" s="14" t="s">
        <v>11</v>
      </c>
      <c r="D521" s="16">
        <v>64.85</v>
      </c>
      <c r="E521" s="16">
        <f t="shared" si="16"/>
        <v>38.91</v>
      </c>
      <c r="F521" s="14"/>
      <c r="G521" s="14"/>
      <c r="H521" s="16">
        <f t="shared" si="17"/>
        <v>38.91</v>
      </c>
      <c r="I521" s="14">
        <v>12</v>
      </c>
    </row>
    <row r="522" ht="24" customHeight="1" spans="1:9">
      <c r="A522" s="14" t="str">
        <f>"15110012821"</f>
        <v>15110012821</v>
      </c>
      <c r="B522" s="15" t="s">
        <v>22</v>
      </c>
      <c r="C522" s="14" t="s">
        <v>11</v>
      </c>
      <c r="D522" s="16">
        <v>64.85</v>
      </c>
      <c r="E522" s="16">
        <f t="shared" si="16"/>
        <v>38.91</v>
      </c>
      <c r="F522" s="14"/>
      <c r="G522" s="14"/>
      <c r="H522" s="16">
        <f t="shared" si="17"/>
        <v>38.91</v>
      </c>
      <c r="I522" s="14">
        <v>13</v>
      </c>
    </row>
    <row r="523" ht="24" customHeight="1" spans="1:9">
      <c r="A523" s="14" t="str">
        <f>"15110012822"</f>
        <v>15110012822</v>
      </c>
      <c r="B523" s="15" t="s">
        <v>22</v>
      </c>
      <c r="C523" s="14" t="s">
        <v>11</v>
      </c>
      <c r="D523" s="16">
        <v>63.89</v>
      </c>
      <c r="E523" s="16">
        <f t="shared" si="16"/>
        <v>38.334</v>
      </c>
      <c r="F523" s="14"/>
      <c r="G523" s="14"/>
      <c r="H523" s="16">
        <f t="shared" si="17"/>
        <v>38.334</v>
      </c>
      <c r="I523" s="14">
        <v>14</v>
      </c>
    </row>
    <row r="524" ht="24" customHeight="1" spans="1:9">
      <c r="A524" s="14" t="str">
        <f>"15110012823"</f>
        <v>15110012823</v>
      </c>
      <c r="B524" s="15" t="s">
        <v>22</v>
      </c>
      <c r="C524" s="14" t="s">
        <v>11</v>
      </c>
      <c r="D524" s="16">
        <v>61.43</v>
      </c>
      <c r="E524" s="16">
        <f t="shared" si="16"/>
        <v>36.858</v>
      </c>
      <c r="F524" s="14"/>
      <c r="G524" s="14"/>
      <c r="H524" s="16">
        <f t="shared" si="17"/>
        <v>36.858</v>
      </c>
      <c r="I524" s="14">
        <v>15</v>
      </c>
    </row>
    <row r="525" ht="24" customHeight="1" spans="1:9">
      <c r="A525" s="14" t="str">
        <f>"15110012814"</f>
        <v>15110012814</v>
      </c>
      <c r="B525" s="15" t="s">
        <v>22</v>
      </c>
      <c r="C525" s="14" t="s">
        <v>11</v>
      </c>
      <c r="D525" s="16">
        <v>60.19</v>
      </c>
      <c r="E525" s="16">
        <f t="shared" si="16"/>
        <v>36.114</v>
      </c>
      <c r="F525" s="14"/>
      <c r="G525" s="14"/>
      <c r="H525" s="16">
        <f t="shared" si="17"/>
        <v>36.114</v>
      </c>
      <c r="I525" s="14">
        <v>16</v>
      </c>
    </row>
    <row r="526" ht="24" customHeight="1" spans="1:9">
      <c r="A526" s="14" t="str">
        <f>"15110012801"</f>
        <v>15110012801</v>
      </c>
      <c r="B526" s="15" t="s">
        <v>22</v>
      </c>
      <c r="C526" s="14" t="s">
        <v>11</v>
      </c>
      <c r="D526" s="16">
        <v>58.48</v>
      </c>
      <c r="E526" s="16">
        <f t="shared" si="16"/>
        <v>35.088</v>
      </c>
      <c r="F526" s="14"/>
      <c r="G526" s="14"/>
      <c r="H526" s="16">
        <f t="shared" si="17"/>
        <v>35.088</v>
      </c>
      <c r="I526" s="14">
        <v>17</v>
      </c>
    </row>
    <row r="527" ht="24" customHeight="1" spans="1:9">
      <c r="A527" s="14" t="str">
        <f>"15110012802"</f>
        <v>15110012802</v>
      </c>
      <c r="B527" s="15" t="s">
        <v>22</v>
      </c>
      <c r="C527" s="14" t="s">
        <v>11</v>
      </c>
      <c r="D527" s="16">
        <v>56.23</v>
      </c>
      <c r="E527" s="16">
        <f t="shared" si="16"/>
        <v>33.738</v>
      </c>
      <c r="F527" s="14"/>
      <c r="G527" s="14"/>
      <c r="H527" s="16">
        <f t="shared" si="17"/>
        <v>33.738</v>
      </c>
      <c r="I527" s="14">
        <v>18</v>
      </c>
    </row>
    <row r="528" ht="24" customHeight="1" spans="1:9">
      <c r="A528" s="14" t="str">
        <f>"15110012813"</f>
        <v>15110012813</v>
      </c>
      <c r="B528" s="15" t="s">
        <v>22</v>
      </c>
      <c r="C528" s="14" t="s">
        <v>11</v>
      </c>
      <c r="D528" s="16">
        <v>56.16</v>
      </c>
      <c r="E528" s="16">
        <f t="shared" si="16"/>
        <v>33.696</v>
      </c>
      <c r="F528" s="14"/>
      <c r="G528" s="14"/>
      <c r="H528" s="16">
        <f t="shared" si="17"/>
        <v>33.696</v>
      </c>
      <c r="I528" s="14">
        <v>19</v>
      </c>
    </row>
    <row r="529" ht="24" customHeight="1" spans="1:9">
      <c r="A529" s="14" t="str">
        <f>"15110012809"</f>
        <v>15110012809</v>
      </c>
      <c r="B529" s="15" t="s">
        <v>22</v>
      </c>
      <c r="C529" s="14" t="s">
        <v>11</v>
      </c>
      <c r="D529" s="16">
        <v>54.45</v>
      </c>
      <c r="E529" s="16">
        <f t="shared" si="16"/>
        <v>32.67</v>
      </c>
      <c r="F529" s="14"/>
      <c r="G529" s="14"/>
      <c r="H529" s="16">
        <f t="shared" si="17"/>
        <v>32.67</v>
      </c>
      <c r="I529" s="14">
        <v>20</v>
      </c>
    </row>
    <row r="530" ht="24" customHeight="1" spans="1:9">
      <c r="A530" s="14" t="str">
        <f>"15110012824"</f>
        <v>15110012824</v>
      </c>
      <c r="B530" s="15" t="s">
        <v>22</v>
      </c>
      <c r="C530" s="14" t="s">
        <v>11</v>
      </c>
      <c r="D530" s="16">
        <v>53.7</v>
      </c>
      <c r="E530" s="16">
        <f t="shared" si="16"/>
        <v>32.22</v>
      </c>
      <c r="F530" s="14"/>
      <c r="G530" s="14"/>
      <c r="H530" s="16">
        <f t="shared" si="17"/>
        <v>32.22</v>
      </c>
      <c r="I530" s="14">
        <v>21</v>
      </c>
    </row>
    <row r="531" ht="24" customHeight="1" spans="1:9">
      <c r="A531" s="14" t="str">
        <f>"15110012820"</f>
        <v>15110012820</v>
      </c>
      <c r="B531" s="15" t="s">
        <v>22</v>
      </c>
      <c r="C531" s="14" t="s">
        <v>11</v>
      </c>
      <c r="D531" s="16">
        <v>41.76</v>
      </c>
      <c r="E531" s="16">
        <f t="shared" si="16"/>
        <v>25.056</v>
      </c>
      <c r="F531" s="14"/>
      <c r="G531" s="14"/>
      <c r="H531" s="16">
        <f t="shared" si="17"/>
        <v>25.056</v>
      </c>
      <c r="I531" s="14">
        <v>22</v>
      </c>
    </row>
    <row r="532" ht="24" customHeight="1" spans="1:9">
      <c r="A532" s="14" t="str">
        <f>"15110012819"</f>
        <v>15110012819</v>
      </c>
      <c r="B532" s="15" t="s">
        <v>22</v>
      </c>
      <c r="C532" s="14" t="s">
        <v>12</v>
      </c>
      <c r="D532" s="16">
        <v>-1</v>
      </c>
      <c r="E532" s="16">
        <f t="shared" si="16"/>
        <v>-0.6</v>
      </c>
      <c r="F532" s="14">
        <v>2.5</v>
      </c>
      <c r="G532" s="14"/>
      <c r="H532" s="16">
        <f t="shared" si="17"/>
        <v>1.9</v>
      </c>
      <c r="I532" s="14">
        <v>23</v>
      </c>
    </row>
    <row r="533" ht="24" customHeight="1" spans="1:9">
      <c r="A533" s="14" t="str">
        <f>"15110012815"</f>
        <v>15110012815</v>
      </c>
      <c r="B533" s="15" t="s">
        <v>22</v>
      </c>
      <c r="C533" s="14" t="s">
        <v>11</v>
      </c>
      <c r="D533" s="16">
        <v>-1</v>
      </c>
      <c r="E533" s="16">
        <f t="shared" si="16"/>
        <v>-0.6</v>
      </c>
      <c r="F533" s="14"/>
      <c r="G533" s="14"/>
      <c r="H533" s="16">
        <f t="shared" si="17"/>
        <v>-0.6</v>
      </c>
      <c r="I533" s="14">
        <v>24</v>
      </c>
    </row>
    <row r="534" ht="24" customHeight="1" spans="1:9">
      <c r="A534" s="11" t="str">
        <f>"15111011810"</f>
        <v>15111011810</v>
      </c>
      <c r="B534" s="12" t="s">
        <v>23</v>
      </c>
      <c r="C534" s="11" t="s">
        <v>11</v>
      </c>
      <c r="D534" s="13">
        <v>51.28</v>
      </c>
      <c r="E534" s="13">
        <f t="shared" si="16"/>
        <v>30.768</v>
      </c>
      <c r="F534" s="11"/>
      <c r="G534" s="11"/>
      <c r="H534" s="13">
        <f t="shared" si="17"/>
        <v>30.768</v>
      </c>
      <c r="I534" s="11">
        <v>1</v>
      </c>
    </row>
    <row r="535" ht="24" customHeight="1" spans="1:9">
      <c r="A535" s="11" t="str">
        <f>"15111011825"</f>
        <v>15111011825</v>
      </c>
      <c r="B535" s="12" t="s">
        <v>23</v>
      </c>
      <c r="C535" s="11" t="s">
        <v>11</v>
      </c>
      <c r="D535" s="13">
        <v>51.28</v>
      </c>
      <c r="E535" s="13">
        <f t="shared" si="16"/>
        <v>30.768</v>
      </c>
      <c r="F535" s="11"/>
      <c r="G535" s="11"/>
      <c r="H535" s="13">
        <f t="shared" si="17"/>
        <v>30.768</v>
      </c>
      <c r="I535" s="11">
        <v>2</v>
      </c>
    </row>
    <row r="536" ht="24" customHeight="1" spans="1:9">
      <c r="A536" s="11" t="str">
        <f>"15111011703"</f>
        <v>15111011703</v>
      </c>
      <c r="B536" s="12" t="s">
        <v>23</v>
      </c>
      <c r="C536" s="11" t="s">
        <v>11</v>
      </c>
      <c r="D536" s="13">
        <v>49.76</v>
      </c>
      <c r="E536" s="13">
        <f t="shared" si="16"/>
        <v>29.856</v>
      </c>
      <c r="F536" s="11"/>
      <c r="G536" s="11"/>
      <c r="H536" s="13">
        <f t="shared" si="17"/>
        <v>29.856</v>
      </c>
      <c r="I536" s="11">
        <v>3</v>
      </c>
    </row>
    <row r="537" ht="24" customHeight="1" spans="1:9">
      <c r="A537" s="14" t="str">
        <f>"15111011704"</f>
        <v>15111011704</v>
      </c>
      <c r="B537" s="15" t="s">
        <v>23</v>
      </c>
      <c r="C537" s="14" t="s">
        <v>11</v>
      </c>
      <c r="D537" s="16">
        <v>49.6</v>
      </c>
      <c r="E537" s="16">
        <f t="shared" si="16"/>
        <v>29.76</v>
      </c>
      <c r="F537" s="14"/>
      <c r="G537" s="14"/>
      <c r="H537" s="16">
        <f t="shared" si="17"/>
        <v>29.76</v>
      </c>
      <c r="I537" s="14">
        <v>4</v>
      </c>
    </row>
    <row r="538" ht="24" customHeight="1" spans="1:9">
      <c r="A538" s="14" t="str">
        <f>"15111011801"</f>
        <v>15111011801</v>
      </c>
      <c r="B538" s="15" t="s">
        <v>23</v>
      </c>
      <c r="C538" s="14" t="s">
        <v>12</v>
      </c>
      <c r="D538" s="16">
        <v>44.64</v>
      </c>
      <c r="E538" s="16">
        <f t="shared" si="16"/>
        <v>26.784</v>
      </c>
      <c r="F538" s="14">
        <v>2.5</v>
      </c>
      <c r="G538" s="14"/>
      <c r="H538" s="16">
        <f t="shared" si="17"/>
        <v>29.284</v>
      </c>
      <c r="I538" s="14">
        <v>5</v>
      </c>
    </row>
    <row r="539" ht="24" customHeight="1" spans="1:9">
      <c r="A539" s="14" t="str">
        <f>"15111011808"</f>
        <v>15111011808</v>
      </c>
      <c r="B539" s="15" t="s">
        <v>23</v>
      </c>
      <c r="C539" s="14" t="s">
        <v>12</v>
      </c>
      <c r="D539" s="16">
        <v>44.64</v>
      </c>
      <c r="E539" s="16">
        <f t="shared" si="16"/>
        <v>26.784</v>
      </c>
      <c r="F539" s="14">
        <v>2.5</v>
      </c>
      <c r="G539" s="14"/>
      <c r="H539" s="16">
        <f t="shared" si="17"/>
        <v>29.284</v>
      </c>
      <c r="I539" s="14">
        <v>6</v>
      </c>
    </row>
    <row r="540" ht="24" customHeight="1" spans="1:9">
      <c r="A540" s="14" t="str">
        <f>"15111011817"</f>
        <v>15111011817</v>
      </c>
      <c r="B540" s="15" t="s">
        <v>23</v>
      </c>
      <c r="C540" s="14" t="s">
        <v>11</v>
      </c>
      <c r="D540" s="16">
        <v>48.08</v>
      </c>
      <c r="E540" s="16">
        <f t="shared" si="16"/>
        <v>28.848</v>
      </c>
      <c r="F540" s="14"/>
      <c r="G540" s="14"/>
      <c r="H540" s="16">
        <f t="shared" si="17"/>
        <v>28.848</v>
      </c>
      <c r="I540" s="14">
        <v>7</v>
      </c>
    </row>
    <row r="541" ht="24" customHeight="1" spans="1:9">
      <c r="A541" s="14" t="str">
        <f>"15111011820"</f>
        <v>15111011820</v>
      </c>
      <c r="B541" s="15" t="s">
        <v>23</v>
      </c>
      <c r="C541" s="14" t="s">
        <v>11</v>
      </c>
      <c r="D541" s="16">
        <v>48</v>
      </c>
      <c r="E541" s="16">
        <f t="shared" si="16"/>
        <v>28.8</v>
      </c>
      <c r="F541" s="14"/>
      <c r="G541" s="14"/>
      <c r="H541" s="16">
        <f t="shared" si="17"/>
        <v>28.8</v>
      </c>
      <c r="I541" s="14">
        <v>8</v>
      </c>
    </row>
    <row r="542" ht="24" customHeight="1" spans="1:9">
      <c r="A542" s="14" t="str">
        <f>"15111011811"</f>
        <v>15111011811</v>
      </c>
      <c r="B542" s="15" t="s">
        <v>23</v>
      </c>
      <c r="C542" s="14" t="s">
        <v>11</v>
      </c>
      <c r="D542" s="16">
        <v>47.92</v>
      </c>
      <c r="E542" s="16">
        <f t="shared" si="16"/>
        <v>28.752</v>
      </c>
      <c r="F542" s="14"/>
      <c r="G542" s="14"/>
      <c r="H542" s="16">
        <f t="shared" si="17"/>
        <v>28.752</v>
      </c>
      <c r="I542" s="14">
        <v>9</v>
      </c>
    </row>
    <row r="543" ht="24" customHeight="1" spans="1:9">
      <c r="A543" s="14" t="str">
        <f>"15111011823"</f>
        <v>15111011823</v>
      </c>
      <c r="B543" s="15" t="s">
        <v>23</v>
      </c>
      <c r="C543" s="14" t="s">
        <v>11</v>
      </c>
      <c r="D543" s="16">
        <v>47.24</v>
      </c>
      <c r="E543" s="16">
        <f t="shared" si="16"/>
        <v>28.344</v>
      </c>
      <c r="F543" s="14"/>
      <c r="G543" s="14"/>
      <c r="H543" s="16">
        <f t="shared" si="17"/>
        <v>28.344</v>
      </c>
      <c r="I543" s="14">
        <v>10</v>
      </c>
    </row>
    <row r="544" ht="24" customHeight="1" spans="1:9">
      <c r="A544" s="14" t="str">
        <f>"15111011827"</f>
        <v>15111011827</v>
      </c>
      <c r="B544" s="15" t="s">
        <v>23</v>
      </c>
      <c r="C544" s="14" t="s">
        <v>11</v>
      </c>
      <c r="D544" s="16">
        <v>47.08</v>
      </c>
      <c r="E544" s="16">
        <f t="shared" si="16"/>
        <v>28.248</v>
      </c>
      <c r="F544" s="14"/>
      <c r="G544" s="14"/>
      <c r="H544" s="16">
        <f t="shared" si="17"/>
        <v>28.248</v>
      </c>
      <c r="I544" s="14">
        <v>11</v>
      </c>
    </row>
    <row r="545" ht="24" customHeight="1" spans="1:9">
      <c r="A545" s="14" t="str">
        <f>"15111011701"</f>
        <v>15111011701</v>
      </c>
      <c r="B545" s="15" t="s">
        <v>23</v>
      </c>
      <c r="C545" s="14" t="s">
        <v>11</v>
      </c>
      <c r="D545" s="16">
        <v>46.4</v>
      </c>
      <c r="E545" s="16">
        <f t="shared" si="16"/>
        <v>27.84</v>
      </c>
      <c r="F545" s="14"/>
      <c r="G545" s="14"/>
      <c r="H545" s="16">
        <f t="shared" si="17"/>
        <v>27.84</v>
      </c>
      <c r="I545" s="14">
        <v>12</v>
      </c>
    </row>
    <row r="546" ht="24" customHeight="1" spans="1:9">
      <c r="A546" s="14" t="str">
        <f>"15111011805"</f>
        <v>15111011805</v>
      </c>
      <c r="B546" s="15" t="s">
        <v>23</v>
      </c>
      <c r="C546" s="14" t="s">
        <v>11</v>
      </c>
      <c r="D546" s="16">
        <v>45.8</v>
      </c>
      <c r="E546" s="16">
        <f t="shared" si="16"/>
        <v>27.48</v>
      </c>
      <c r="F546" s="14"/>
      <c r="G546" s="14"/>
      <c r="H546" s="16">
        <f t="shared" si="17"/>
        <v>27.48</v>
      </c>
      <c r="I546" s="14">
        <v>13</v>
      </c>
    </row>
    <row r="547" ht="24" customHeight="1" spans="1:9">
      <c r="A547" s="14" t="str">
        <f>"15111011803"</f>
        <v>15111011803</v>
      </c>
      <c r="B547" s="15" t="s">
        <v>23</v>
      </c>
      <c r="C547" s="14" t="s">
        <v>11</v>
      </c>
      <c r="D547" s="16">
        <v>43.8</v>
      </c>
      <c r="E547" s="16">
        <f t="shared" si="16"/>
        <v>26.28</v>
      </c>
      <c r="F547" s="14"/>
      <c r="G547" s="14"/>
      <c r="H547" s="16">
        <f t="shared" si="17"/>
        <v>26.28</v>
      </c>
      <c r="I547" s="14">
        <v>14</v>
      </c>
    </row>
    <row r="548" ht="24" customHeight="1" spans="1:9">
      <c r="A548" s="14" t="str">
        <f>"15111011807"</f>
        <v>15111011807</v>
      </c>
      <c r="B548" s="15" t="s">
        <v>23</v>
      </c>
      <c r="C548" s="14" t="s">
        <v>11</v>
      </c>
      <c r="D548" s="16">
        <v>43.8</v>
      </c>
      <c r="E548" s="16">
        <f t="shared" si="16"/>
        <v>26.28</v>
      </c>
      <c r="F548" s="14"/>
      <c r="G548" s="14"/>
      <c r="H548" s="16">
        <f t="shared" si="17"/>
        <v>26.28</v>
      </c>
      <c r="I548" s="14">
        <v>15</v>
      </c>
    </row>
    <row r="549" ht="24" customHeight="1" spans="1:9">
      <c r="A549" s="14" t="str">
        <f>"15111011813"</f>
        <v>15111011813</v>
      </c>
      <c r="B549" s="15" t="s">
        <v>23</v>
      </c>
      <c r="C549" s="14" t="s">
        <v>11</v>
      </c>
      <c r="D549" s="16">
        <v>43.8</v>
      </c>
      <c r="E549" s="16">
        <f t="shared" si="16"/>
        <v>26.28</v>
      </c>
      <c r="F549" s="14"/>
      <c r="G549" s="14"/>
      <c r="H549" s="16">
        <f t="shared" si="17"/>
        <v>26.28</v>
      </c>
      <c r="I549" s="14">
        <v>16</v>
      </c>
    </row>
    <row r="550" ht="24" customHeight="1" spans="1:9">
      <c r="A550" s="14" t="str">
        <f>"15111011818"</f>
        <v>15111011818</v>
      </c>
      <c r="B550" s="15" t="s">
        <v>23</v>
      </c>
      <c r="C550" s="14" t="s">
        <v>11</v>
      </c>
      <c r="D550" s="16">
        <v>43.8</v>
      </c>
      <c r="E550" s="16">
        <f t="shared" si="16"/>
        <v>26.28</v>
      </c>
      <c r="F550" s="14"/>
      <c r="G550" s="14"/>
      <c r="H550" s="16">
        <f t="shared" si="17"/>
        <v>26.28</v>
      </c>
      <c r="I550" s="14">
        <v>17</v>
      </c>
    </row>
    <row r="551" ht="24" customHeight="1" spans="1:9">
      <c r="A551" s="14" t="str">
        <f>"15111011812"</f>
        <v>15111011812</v>
      </c>
      <c r="B551" s="15" t="s">
        <v>23</v>
      </c>
      <c r="C551" s="14" t="s">
        <v>11</v>
      </c>
      <c r="D551" s="16">
        <v>42.96</v>
      </c>
      <c r="E551" s="16">
        <f t="shared" si="16"/>
        <v>25.776</v>
      </c>
      <c r="F551" s="14"/>
      <c r="G551" s="14"/>
      <c r="H551" s="16">
        <f t="shared" si="17"/>
        <v>25.776</v>
      </c>
      <c r="I551" s="14">
        <v>18</v>
      </c>
    </row>
    <row r="552" ht="24" customHeight="1" spans="1:9">
      <c r="A552" s="14" t="str">
        <f>"15111011814"</f>
        <v>15111011814</v>
      </c>
      <c r="B552" s="15" t="s">
        <v>23</v>
      </c>
      <c r="C552" s="14" t="s">
        <v>11</v>
      </c>
      <c r="D552" s="16">
        <v>42.96</v>
      </c>
      <c r="E552" s="16">
        <f t="shared" si="16"/>
        <v>25.776</v>
      </c>
      <c r="F552" s="14"/>
      <c r="G552" s="14"/>
      <c r="H552" s="16">
        <f t="shared" si="17"/>
        <v>25.776</v>
      </c>
      <c r="I552" s="14">
        <v>19</v>
      </c>
    </row>
    <row r="553" ht="24" customHeight="1" spans="1:9">
      <c r="A553" s="14" t="str">
        <f>"15111011815"</f>
        <v>15111011815</v>
      </c>
      <c r="B553" s="15" t="s">
        <v>23</v>
      </c>
      <c r="C553" s="14" t="s">
        <v>11</v>
      </c>
      <c r="D553" s="16">
        <v>42.96</v>
      </c>
      <c r="E553" s="16">
        <f t="shared" si="16"/>
        <v>25.776</v>
      </c>
      <c r="F553" s="14"/>
      <c r="G553" s="14"/>
      <c r="H553" s="16">
        <f t="shared" si="17"/>
        <v>25.776</v>
      </c>
      <c r="I553" s="14">
        <v>20</v>
      </c>
    </row>
    <row r="554" ht="24" customHeight="1" spans="1:9">
      <c r="A554" s="14" t="str">
        <f>"15111011816"</f>
        <v>15111011816</v>
      </c>
      <c r="B554" s="15" t="s">
        <v>23</v>
      </c>
      <c r="C554" s="14" t="s">
        <v>11</v>
      </c>
      <c r="D554" s="16">
        <v>42.2</v>
      </c>
      <c r="E554" s="16">
        <f t="shared" si="16"/>
        <v>25.32</v>
      </c>
      <c r="F554" s="14"/>
      <c r="G554" s="14"/>
      <c r="H554" s="16">
        <f t="shared" si="17"/>
        <v>25.32</v>
      </c>
      <c r="I554" s="14">
        <v>21</v>
      </c>
    </row>
    <row r="555" ht="24" customHeight="1" spans="1:9">
      <c r="A555" s="14" t="str">
        <f>"15111011702"</f>
        <v>15111011702</v>
      </c>
      <c r="B555" s="15" t="s">
        <v>23</v>
      </c>
      <c r="C555" s="14" t="s">
        <v>11</v>
      </c>
      <c r="D555" s="16">
        <v>41.6</v>
      </c>
      <c r="E555" s="16">
        <f t="shared" si="16"/>
        <v>24.96</v>
      </c>
      <c r="F555" s="14"/>
      <c r="G555" s="14"/>
      <c r="H555" s="16">
        <f t="shared" si="17"/>
        <v>24.96</v>
      </c>
      <c r="I555" s="14">
        <v>22</v>
      </c>
    </row>
    <row r="556" ht="24" customHeight="1" spans="1:9">
      <c r="A556" s="14" t="str">
        <f>"15111011819"</f>
        <v>15111011819</v>
      </c>
      <c r="B556" s="15" t="s">
        <v>23</v>
      </c>
      <c r="C556" s="14" t="s">
        <v>11</v>
      </c>
      <c r="D556" s="16">
        <v>41.44</v>
      </c>
      <c r="E556" s="16">
        <f t="shared" si="16"/>
        <v>24.864</v>
      </c>
      <c r="F556" s="14"/>
      <c r="G556" s="14"/>
      <c r="H556" s="16">
        <f t="shared" si="17"/>
        <v>24.864</v>
      </c>
      <c r="I556" s="14">
        <v>23</v>
      </c>
    </row>
    <row r="557" ht="24" customHeight="1" spans="1:9">
      <c r="A557" s="14" t="str">
        <f>"15111011809"</f>
        <v>15111011809</v>
      </c>
      <c r="B557" s="15" t="s">
        <v>23</v>
      </c>
      <c r="C557" s="14" t="s">
        <v>11</v>
      </c>
      <c r="D557" s="16">
        <v>40.68</v>
      </c>
      <c r="E557" s="16">
        <f t="shared" si="16"/>
        <v>24.408</v>
      </c>
      <c r="F557" s="14"/>
      <c r="G557" s="14"/>
      <c r="H557" s="16">
        <f t="shared" si="17"/>
        <v>24.408</v>
      </c>
      <c r="I557" s="14">
        <v>24</v>
      </c>
    </row>
    <row r="558" ht="24" customHeight="1" spans="1:9">
      <c r="A558" s="14" t="str">
        <f>"15111011802"</f>
        <v>15111011802</v>
      </c>
      <c r="B558" s="15" t="s">
        <v>23</v>
      </c>
      <c r="C558" s="14" t="s">
        <v>11</v>
      </c>
      <c r="D558" s="16">
        <v>39.76</v>
      </c>
      <c r="E558" s="16">
        <f t="shared" si="16"/>
        <v>23.856</v>
      </c>
      <c r="F558" s="14"/>
      <c r="G558" s="14"/>
      <c r="H558" s="16">
        <f t="shared" si="17"/>
        <v>23.856</v>
      </c>
      <c r="I558" s="14">
        <v>25</v>
      </c>
    </row>
    <row r="559" ht="24" customHeight="1" spans="1:9">
      <c r="A559" s="14" t="str">
        <f>"15111011824"</f>
        <v>15111011824</v>
      </c>
      <c r="B559" s="15" t="s">
        <v>23</v>
      </c>
      <c r="C559" s="14" t="s">
        <v>11</v>
      </c>
      <c r="D559" s="16">
        <v>39</v>
      </c>
      <c r="E559" s="16">
        <f t="shared" si="16"/>
        <v>23.4</v>
      </c>
      <c r="F559" s="14"/>
      <c r="G559" s="14"/>
      <c r="H559" s="16">
        <f t="shared" si="17"/>
        <v>23.4</v>
      </c>
      <c r="I559" s="14">
        <v>26</v>
      </c>
    </row>
    <row r="560" ht="24" customHeight="1" spans="1:9">
      <c r="A560" s="14" t="str">
        <f>"15111011826"</f>
        <v>15111011826</v>
      </c>
      <c r="B560" s="15" t="s">
        <v>23</v>
      </c>
      <c r="C560" s="14" t="s">
        <v>11</v>
      </c>
      <c r="D560" s="16">
        <v>38.92</v>
      </c>
      <c r="E560" s="16">
        <f t="shared" si="16"/>
        <v>23.352</v>
      </c>
      <c r="F560" s="14"/>
      <c r="G560" s="14"/>
      <c r="H560" s="16">
        <f t="shared" si="17"/>
        <v>23.352</v>
      </c>
      <c r="I560" s="14">
        <v>27</v>
      </c>
    </row>
    <row r="561" ht="24" customHeight="1" spans="1:9">
      <c r="A561" s="14" t="str">
        <f>"15111011804"</f>
        <v>15111011804</v>
      </c>
      <c r="B561" s="15" t="s">
        <v>23</v>
      </c>
      <c r="C561" s="14" t="s">
        <v>11</v>
      </c>
      <c r="D561" s="16">
        <v>37.32</v>
      </c>
      <c r="E561" s="16">
        <f t="shared" si="16"/>
        <v>22.392</v>
      </c>
      <c r="F561" s="14"/>
      <c r="G561" s="14"/>
      <c r="H561" s="16">
        <f t="shared" si="17"/>
        <v>22.392</v>
      </c>
      <c r="I561" s="14">
        <v>28</v>
      </c>
    </row>
    <row r="562" ht="24" customHeight="1" spans="1:9">
      <c r="A562" s="14" t="str">
        <f>"15111011806"</f>
        <v>15111011806</v>
      </c>
      <c r="B562" s="15" t="s">
        <v>23</v>
      </c>
      <c r="C562" s="14" t="s">
        <v>11</v>
      </c>
      <c r="D562" s="16">
        <v>37.24</v>
      </c>
      <c r="E562" s="16">
        <f t="shared" si="16"/>
        <v>22.344</v>
      </c>
      <c r="F562" s="14"/>
      <c r="G562" s="14"/>
      <c r="H562" s="16">
        <f t="shared" si="17"/>
        <v>22.344</v>
      </c>
      <c r="I562" s="14">
        <v>29</v>
      </c>
    </row>
    <row r="563" ht="24" customHeight="1" spans="1:9">
      <c r="A563" s="14" t="str">
        <f>"15111011821"</f>
        <v>15111011821</v>
      </c>
      <c r="B563" s="15" t="s">
        <v>23</v>
      </c>
      <c r="C563" s="14" t="s">
        <v>11</v>
      </c>
      <c r="D563" s="16">
        <v>34.64</v>
      </c>
      <c r="E563" s="16">
        <f t="shared" si="16"/>
        <v>20.784</v>
      </c>
      <c r="F563" s="14"/>
      <c r="G563" s="14"/>
      <c r="H563" s="16">
        <f t="shared" si="17"/>
        <v>20.784</v>
      </c>
      <c r="I563" s="14">
        <v>30</v>
      </c>
    </row>
    <row r="564" ht="24" customHeight="1" spans="1:9">
      <c r="A564" s="14" t="str">
        <f>"15111011828"</f>
        <v>15111011828</v>
      </c>
      <c r="B564" s="15" t="s">
        <v>23</v>
      </c>
      <c r="C564" s="14" t="s">
        <v>12</v>
      </c>
      <c r="D564" s="16">
        <v>-1</v>
      </c>
      <c r="E564" s="16">
        <f t="shared" si="16"/>
        <v>-0.6</v>
      </c>
      <c r="F564" s="14">
        <v>2.5</v>
      </c>
      <c r="G564" s="14"/>
      <c r="H564" s="16">
        <f t="shared" si="17"/>
        <v>1.9</v>
      </c>
      <c r="I564" s="14">
        <v>31</v>
      </c>
    </row>
    <row r="565" ht="24" customHeight="1" spans="1:9">
      <c r="A565" s="14" t="str">
        <f>"15111011822"</f>
        <v>15111011822</v>
      </c>
      <c r="B565" s="15" t="s">
        <v>23</v>
      </c>
      <c r="C565" s="14" t="s">
        <v>11</v>
      </c>
      <c r="D565" s="16">
        <v>-1</v>
      </c>
      <c r="E565" s="16">
        <f t="shared" si="16"/>
        <v>-0.6</v>
      </c>
      <c r="F565" s="14"/>
      <c r="G565" s="14"/>
      <c r="H565" s="16">
        <f t="shared" si="17"/>
        <v>-0.6</v>
      </c>
      <c r="I565" s="14">
        <v>32</v>
      </c>
    </row>
    <row r="566" ht="24" customHeight="1" spans="1:9">
      <c r="A566" s="11" t="str">
        <f>"15112011929"</f>
        <v>15112011929</v>
      </c>
      <c r="B566" s="12" t="s">
        <v>24</v>
      </c>
      <c r="C566" s="11" t="s">
        <v>11</v>
      </c>
      <c r="D566" s="13">
        <v>52.2</v>
      </c>
      <c r="E566" s="13">
        <f t="shared" si="16"/>
        <v>31.32</v>
      </c>
      <c r="F566" s="11"/>
      <c r="G566" s="11"/>
      <c r="H566" s="13">
        <f t="shared" si="17"/>
        <v>31.32</v>
      </c>
      <c r="I566" s="11">
        <v>1</v>
      </c>
    </row>
    <row r="567" ht="24" customHeight="1" spans="1:9">
      <c r="A567" s="11" t="str">
        <f>"15112011926"</f>
        <v>15112011926</v>
      </c>
      <c r="B567" s="12" t="s">
        <v>24</v>
      </c>
      <c r="C567" s="11" t="s">
        <v>11</v>
      </c>
      <c r="D567" s="13">
        <v>51.44</v>
      </c>
      <c r="E567" s="13">
        <f t="shared" si="16"/>
        <v>30.864</v>
      </c>
      <c r="F567" s="11"/>
      <c r="G567" s="11"/>
      <c r="H567" s="13">
        <f t="shared" si="17"/>
        <v>30.864</v>
      </c>
      <c r="I567" s="11">
        <v>2</v>
      </c>
    </row>
    <row r="568" ht="24" customHeight="1" spans="1:9">
      <c r="A568" s="11" t="str">
        <f>"15112011915"</f>
        <v>15112011915</v>
      </c>
      <c r="B568" s="12" t="s">
        <v>24</v>
      </c>
      <c r="C568" s="11" t="s">
        <v>12</v>
      </c>
      <c r="D568" s="13">
        <v>47.16</v>
      </c>
      <c r="E568" s="13">
        <f t="shared" si="16"/>
        <v>28.296</v>
      </c>
      <c r="F568" s="11">
        <v>2.5</v>
      </c>
      <c r="G568" s="11"/>
      <c r="H568" s="13">
        <f t="shared" si="17"/>
        <v>30.796</v>
      </c>
      <c r="I568" s="11">
        <v>3</v>
      </c>
    </row>
    <row r="569" ht="24" customHeight="1" spans="1:9">
      <c r="A569" s="14" t="str">
        <f>"15112011908"</f>
        <v>15112011908</v>
      </c>
      <c r="B569" s="15" t="s">
        <v>24</v>
      </c>
      <c r="C569" s="14" t="s">
        <v>12</v>
      </c>
      <c r="D569" s="16">
        <v>45.72</v>
      </c>
      <c r="E569" s="16">
        <f t="shared" si="16"/>
        <v>27.432</v>
      </c>
      <c r="F569" s="14">
        <v>2.5</v>
      </c>
      <c r="G569" s="14"/>
      <c r="H569" s="16">
        <f t="shared" si="17"/>
        <v>29.932</v>
      </c>
      <c r="I569" s="14">
        <v>4</v>
      </c>
    </row>
    <row r="570" ht="24" customHeight="1" spans="1:9">
      <c r="A570" s="14" t="str">
        <f>"15112011830"</f>
        <v>15112011830</v>
      </c>
      <c r="B570" s="15" t="s">
        <v>24</v>
      </c>
      <c r="C570" s="14" t="s">
        <v>11</v>
      </c>
      <c r="D570" s="16">
        <v>47.92</v>
      </c>
      <c r="E570" s="16">
        <f t="shared" si="16"/>
        <v>28.752</v>
      </c>
      <c r="F570" s="14"/>
      <c r="G570" s="14"/>
      <c r="H570" s="16">
        <f t="shared" si="17"/>
        <v>28.752</v>
      </c>
      <c r="I570" s="14">
        <v>5</v>
      </c>
    </row>
    <row r="571" ht="24" customHeight="1" spans="1:9">
      <c r="A571" s="14" t="str">
        <f>"15112011903"</f>
        <v>15112011903</v>
      </c>
      <c r="B571" s="15" t="s">
        <v>24</v>
      </c>
      <c r="C571" s="14" t="s">
        <v>11</v>
      </c>
      <c r="D571" s="16">
        <v>47.32</v>
      </c>
      <c r="E571" s="16">
        <f t="shared" si="16"/>
        <v>28.392</v>
      </c>
      <c r="F571" s="14"/>
      <c r="G571" s="14"/>
      <c r="H571" s="16">
        <f t="shared" si="17"/>
        <v>28.392</v>
      </c>
      <c r="I571" s="14">
        <v>6</v>
      </c>
    </row>
    <row r="572" ht="24" customHeight="1" spans="1:9">
      <c r="A572" s="14" t="str">
        <f>"15112011914"</f>
        <v>15112011914</v>
      </c>
      <c r="B572" s="15" t="s">
        <v>24</v>
      </c>
      <c r="C572" s="14" t="s">
        <v>11</v>
      </c>
      <c r="D572" s="16">
        <v>47.32</v>
      </c>
      <c r="E572" s="16">
        <f t="shared" si="16"/>
        <v>28.392</v>
      </c>
      <c r="F572" s="14"/>
      <c r="G572" s="14"/>
      <c r="H572" s="16">
        <f t="shared" si="17"/>
        <v>28.392</v>
      </c>
      <c r="I572" s="14">
        <v>7</v>
      </c>
    </row>
    <row r="573" ht="24" customHeight="1" spans="1:9">
      <c r="A573" s="14" t="str">
        <f>"15112011911"</f>
        <v>15112011911</v>
      </c>
      <c r="B573" s="15" t="s">
        <v>24</v>
      </c>
      <c r="C573" s="14" t="s">
        <v>12</v>
      </c>
      <c r="D573" s="16">
        <v>42.36</v>
      </c>
      <c r="E573" s="16">
        <f t="shared" si="16"/>
        <v>25.416</v>
      </c>
      <c r="F573" s="14">
        <v>2.5</v>
      </c>
      <c r="G573" s="14"/>
      <c r="H573" s="16">
        <f t="shared" si="17"/>
        <v>27.916</v>
      </c>
      <c r="I573" s="14">
        <v>8</v>
      </c>
    </row>
    <row r="574" ht="24" customHeight="1" spans="1:9">
      <c r="A574" s="14" t="str">
        <f>"15112011906"</f>
        <v>15112011906</v>
      </c>
      <c r="B574" s="15" t="s">
        <v>24</v>
      </c>
      <c r="C574" s="14" t="s">
        <v>11</v>
      </c>
      <c r="D574" s="16">
        <v>46.32</v>
      </c>
      <c r="E574" s="16">
        <f t="shared" si="16"/>
        <v>27.792</v>
      </c>
      <c r="F574" s="14"/>
      <c r="G574" s="14"/>
      <c r="H574" s="16">
        <f t="shared" si="17"/>
        <v>27.792</v>
      </c>
      <c r="I574" s="14">
        <v>9</v>
      </c>
    </row>
    <row r="575" ht="24" customHeight="1" spans="1:9">
      <c r="A575" s="14" t="str">
        <f>"15112011904"</f>
        <v>15112011904</v>
      </c>
      <c r="B575" s="15" t="s">
        <v>24</v>
      </c>
      <c r="C575" s="14" t="s">
        <v>11</v>
      </c>
      <c r="D575" s="16">
        <v>45.56</v>
      </c>
      <c r="E575" s="16">
        <f t="shared" si="16"/>
        <v>27.336</v>
      </c>
      <c r="F575" s="14"/>
      <c r="G575" s="14"/>
      <c r="H575" s="16">
        <f t="shared" si="17"/>
        <v>27.336</v>
      </c>
      <c r="I575" s="14">
        <v>10</v>
      </c>
    </row>
    <row r="576" ht="24" customHeight="1" spans="1:9">
      <c r="A576" s="14" t="str">
        <f>"15112011925"</f>
        <v>15112011925</v>
      </c>
      <c r="B576" s="15" t="s">
        <v>24</v>
      </c>
      <c r="C576" s="14" t="s">
        <v>11</v>
      </c>
      <c r="D576" s="16">
        <v>44.72</v>
      </c>
      <c r="E576" s="16">
        <f t="shared" si="16"/>
        <v>26.832</v>
      </c>
      <c r="F576" s="14"/>
      <c r="G576" s="14"/>
      <c r="H576" s="16">
        <f t="shared" si="17"/>
        <v>26.832</v>
      </c>
      <c r="I576" s="14">
        <v>11</v>
      </c>
    </row>
    <row r="577" ht="24" customHeight="1" spans="1:9">
      <c r="A577" s="14" t="str">
        <f>"15112011909"</f>
        <v>15112011909</v>
      </c>
      <c r="B577" s="15" t="s">
        <v>24</v>
      </c>
      <c r="C577" s="14" t="s">
        <v>11</v>
      </c>
      <c r="D577" s="16">
        <v>44.64</v>
      </c>
      <c r="E577" s="16">
        <f t="shared" si="16"/>
        <v>26.784</v>
      </c>
      <c r="F577" s="14"/>
      <c r="G577" s="14"/>
      <c r="H577" s="16">
        <f t="shared" si="17"/>
        <v>26.784</v>
      </c>
      <c r="I577" s="14">
        <v>12</v>
      </c>
    </row>
    <row r="578" ht="24" customHeight="1" spans="1:9">
      <c r="A578" s="14" t="str">
        <f>"15112011930"</f>
        <v>15112011930</v>
      </c>
      <c r="B578" s="15" t="s">
        <v>24</v>
      </c>
      <c r="C578" s="14" t="s">
        <v>11</v>
      </c>
      <c r="D578" s="16">
        <v>44.64</v>
      </c>
      <c r="E578" s="16">
        <f t="shared" si="16"/>
        <v>26.784</v>
      </c>
      <c r="F578" s="14"/>
      <c r="G578" s="14"/>
      <c r="H578" s="16">
        <f t="shared" si="17"/>
        <v>26.784</v>
      </c>
      <c r="I578" s="14">
        <v>13</v>
      </c>
    </row>
    <row r="579" ht="24" customHeight="1" spans="1:9">
      <c r="A579" s="14" t="str">
        <f>"15112011912"</f>
        <v>15112011912</v>
      </c>
      <c r="B579" s="15" t="s">
        <v>24</v>
      </c>
      <c r="C579" s="14" t="s">
        <v>11</v>
      </c>
      <c r="D579" s="16">
        <v>44.56</v>
      </c>
      <c r="E579" s="16">
        <f t="shared" ref="E579:E642" si="18">D579*0.6</f>
        <v>26.736</v>
      </c>
      <c r="F579" s="14"/>
      <c r="G579" s="14"/>
      <c r="H579" s="16">
        <f t="shared" ref="H579:H642" si="19">SUM(E579:G579)</f>
        <v>26.736</v>
      </c>
      <c r="I579" s="14">
        <v>14</v>
      </c>
    </row>
    <row r="580" ht="24" customHeight="1" spans="1:9">
      <c r="A580" s="14" t="str">
        <f>"15112011918"</f>
        <v>15112011918</v>
      </c>
      <c r="B580" s="15" t="s">
        <v>24</v>
      </c>
      <c r="C580" s="14" t="s">
        <v>11</v>
      </c>
      <c r="D580" s="16">
        <v>43.8</v>
      </c>
      <c r="E580" s="16">
        <f t="shared" si="18"/>
        <v>26.28</v>
      </c>
      <c r="F580" s="14"/>
      <c r="G580" s="14"/>
      <c r="H580" s="16">
        <f t="shared" si="19"/>
        <v>26.28</v>
      </c>
      <c r="I580" s="14">
        <v>15</v>
      </c>
    </row>
    <row r="581" ht="24" customHeight="1" spans="1:9">
      <c r="A581" s="14" t="str">
        <f>"15112011920"</f>
        <v>15112011920</v>
      </c>
      <c r="B581" s="15" t="s">
        <v>24</v>
      </c>
      <c r="C581" s="14" t="s">
        <v>11</v>
      </c>
      <c r="D581" s="16">
        <v>43.8</v>
      </c>
      <c r="E581" s="16">
        <f t="shared" si="18"/>
        <v>26.28</v>
      </c>
      <c r="F581" s="14"/>
      <c r="G581" s="14"/>
      <c r="H581" s="16">
        <f t="shared" si="19"/>
        <v>26.28</v>
      </c>
      <c r="I581" s="14">
        <v>16</v>
      </c>
    </row>
    <row r="582" ht="24" customHeight="1" spans="1:9">
      <c r="A582" s="14" t="str">
        <f>"15112011924"</f>
        <v>15112011924</v>
      </c>
      <c r="B582" s="15" t="s">
        <v>24</v>
      </c>
      <c r="C582" s="14" t="s">
        <v>11</v>
      </c>
      <c r="D582" s="16">
        <v>43.72</v>
      </c>
      <c r="E582" s="16">
        <f t="shared" si="18"/>
        <v>26.232</v>
      </c>
      <c r="F582" s="14"/>
      <c r="G582" s="14"/>
      <c r="H582" s="16">
        <f t="shared" si="19"/>
        <v>26.232</v>
      </c>
      <c r="I582" s="14">
        <v>17</v>
      </c>
    </row>
    <row r="583" ht="24" customHeight="1" spans="1:9">
      <c r="A583" s="14" t="str">
        <f>"15112011922"</f>
        <v>15112011922</v>
      </c>
      <c r="B583" s="15" t="s">
        <v>24</v>
      </c>
      <c r="C583" s="14" t="s">
        <v>11</v>
      </c>
      <c r="D583" s="16">
        <v>43.2</v>
      </c>
      <c r="E583" s="16">
        <f t="shared" si="18"/>
        <v>25.92</v>
      </c>
      <c r="F583" s="14"/>
      <c r="G583" s="14"/>
      <c r="H583" s="16">
        <f t="shared" si="19"/>
        <v>25.92</v>
      </c>
      <c r="I583" s="14">
        <v>18</v>
      </c>
    </row>
    <row r="584" ht="24" customHeight="1" spans="1:9">
      <c r="A584" s="14" t="str">
        <f>"15112011829"</f>
        <v>15112011829</v>
      </c>
      <c r="B584" s="15" t="s">
        <v>24</v>
      </c>
      <c r="C584" s="14" t="s">
        <v>11</v>
      </c>
      <c r="D584" s="16">
        <v>43.04</v>
      </c>
      <c r="E584" s="16">
        <f t="shared" si="18"/>
        <v>25.824</v>
      </c>
      <c r="F584" s="14"/>
      <c r="G584" s="14"/>
      <c r="H584" s="16">
        <f t="shared" si="19"/>
        <v>25.824</v>
      </c>
      <c r="I584" s="14">
        <v>19</v>
      </c>
    </row>
    <row r="585" ht="24" customHeight="1" spans="1:9">
      <c r="A585" s="14" t="str">
        <f>"15112011919"</f>
        <v>15112011919</v>
      </c>
      <c r="B585" s="15" t="s">
        <v>24</v>
      </c>
      <c r="C585" s="14" t="s">
        <v>11</v>
      </c>
      <c r="D585" s="16">
        <v>43.04</v>
      </c>
      <c r="E585" s="16">
        <f t="shared" si="18"/>
        <v>25.824</v>
      </c>
      <c r="F585" s="14"/>
      <c r="G585" s="14"/>
      <c r="H585" s="16">
        <f t="shared" si="19"/>
        <v>25.824</v>
      </c>
      <c r="I585" s="14">
        <v>20</v>
      </c>
    </row>
    <row r="586" ht="24" customHeight="1" spans="1:9">
      <c r="A586" s="14" t="str">
        <f>"15112011923"</f>
        <v>15112011923</v>
      </c>
      <c r="B586" s="15" t="s">
        <v>24</v>
      </c>
      <c r="C586" s="14" t="s">
        <v>11</v>
      </c>
      <c r="D586" s="16">
        <v>43.04</v>
      </c>
      <c r="E586" s="16">
        <f t="shared" si="18"/>
        <v>25.824</v>
      </c>
      <c r="F586" s="14"/>
      <c r="G586" s="14"/>
      <c r="H586" s="16">
        <f t="shared" si="19"/>
        <v>25.824</v>
      </c>
      <c r="I586" s="14">
        <v>21</v>
      </c>
    </row>
    <row r="587" ht="24" customHeight="1" spans="1:9">
      <c r="A587" s="14" t="str">
        <f>"15112011901"</f>
        <v>15112011901</v>
      </c>
      <c r="B587" s="15" t="s">
        <v>24</v>
      </c>
      <c r="C587" s="14" t="s">
        <v>12</v>
      </c>
      <c r="D587" s="16">
        <v>38.84</v>
      </c>
      <c r="E587" s="16">
        <f t="shared" si="18"/>
        <v>23.304</v>
      </c>
      <c r="F587" s="14">
        <v>2.5</v>
      </c>
      <c r="G587" s="14"/>
      <c r="H587" s="16">
        <f t="shared" si="19"/>
        <v>25.804</v>
      </c>
      <c r="I587" s="14">
        <v>22</v>
      </c>
    </row>
    <row r="588" ht="24" customHeight="1" spans="1:9">
      <c r="A588" s="14" t="str">
        <f>"15112011902"</f>
        <v>15112011902</v>
      </c>
      <c r="B588" s="15" t="s">
        <v>24</v>
      </c>
      <c r="C588" s="14" t="s">
        <v>11</v>
      </c>
      <c r="D588" s="16">
        <v>42.44</v>
      </c>
      <c r="E588" s="16">
        <f t="shared" si="18"/>
        <v>25.464</v>
      </c>
      <c r="F588" s="14"/>
      <c r="G588" s="14"/>
      <c r="H588" s="16">
        <f t="shared" si="19"/>
        <v>25.464</v>
      </c>
      <c r="I588" s="14">
        <v>23</v>
      </c>
    </row>
    <row r="589" ht="24" customHeight="1" spans="1:9">
      <c r="A589" s="14" t="str">
        <f>"15112011928"</f>
        <v>15112011928</v>
      </c>
      <c r="B589" s="15" t="s">
        <v>24</v>
      </c>
      <c r="C589" s="14" t="s">
        <v>11</v>
      </c>
      <c r="D589" s="16">
        <v>42.2</v>
      </c>
      <c r="E589" s="16">
        <f t="shared" si="18"/>
        <v>25.32</v>
      </c>
      <c r="F589" s="14"/>
      <c r="G589" s="14"/>
      <c r="H589" s="16">
        <f t="shared" si="19"/>
        <v>25.32</v>
      </c>
      <c r="I589" s="14">
        <v>24</v>
      </c>
    </row>
    <row r="590" ht="24" customHeight="1" spans="1:9">
      <c r="A590" s="14" t="str">
        <f>"15112011921"</f>
        <v>15112011921</v>
      </c>
      <c r="B590" s="15" t="s">
        <v>24</v>
      </c>
      <c r="C590" s="14" t="s">
        <v>11</v>
      </c>
      <c r="D590" s="16">
        <v>41.6</v>
      </c>
      <c r="E590" s="16">
        <f t="shared" si="18"/>
        <v>24.96</v>
      </c>
      <c r="F590" s="14"/>
      <c r="G590" s="14"/>
      <c r="H590" s="16">
        <f t="shared" si="19"/>
        <v>24.96</v>
      </c>
      <c r="I590" s="14">
        <v>25</v>
      </c>
    </row>
    <row r="591" ht="24" customHeight="1" spans="1:9">
      <c r="A591" s="14" t="str">
        <f>"15112011907"</f>
        <v>15112011907</v>
      </c>
      <c r="B591" s="15" t="s">
        <v>24</v>
      </c>
      <c r="C591" s="14" t="s">
        <v>11</v>
      </c>
      <c r="D591" s="16">
        <v>40.6</v>
      </c>
      <c r="E591" s="16">
        <f t="shared" si="18"/>
        <v>24.36</v>
      </c>
      <c r="F591" s="14"/>
      <c r="G591" s="14"/>
      <c r="H591" s="16">
        <f t="shared" si="19"/>
        <v>24.36</v>
      </c>
      <c r="I591" s="14">
        <v>26</v>
      </c>
    </row>
    <row r="592" ht="24" customHeight="1" spans="1:9">
      <c r="A592" s="14" t="str">
        <f>"15112011927"</f>
        <v>15112011927</v>
      </c>
      <c r="B592" s="15" t="s">
        <v>24</v>
      </c>
      <c r="C592" s="14" t="s">
        <v>11</v>
      </c>
      <c r="D592" s="16">
        <v>39.84</v>
      </c>
      <c r="E592" s="16">
        <f t="shared" si="18"/>
        <v>23.904</v>
      </c>
      <c r="F592" s="14"/>
      <c r="G592" s="14"/>
      <c r="H592" s="16">
        <f t="shared" si="19"/>
        <v>23.904</v>
      </c>
      <c r="I592" s="14">
        <v>27</v>
      </c>
    </row>
    <row r="593" ht="24" customHeight="1" spans="1:9">
      <c r="A593" s="14" t="str">
        <f>"15112011917"</f>
        <v>15112011917</v>
      </c>
      <c r="B593" s="15" t="s">
        <v>24</v>
      </c>
      <c r="C593" s="14" t="s">
        <v>11</v>
      </c>
      <c r="D593" s="16">
        <v>38.84</v>
      </c>
      <c r="E593" s="16">
        <f t="shared" si="18"/>
        <v>23.304</v>
      </c>
      <c r="F593" s="14"/>
      <c r="G593" s="14"/>
      <c r="H593" s="16">
        <f t="shared" si="19"/>
        <v>23.304</v>
      </c>
      <c r="I593" s="14">
        <v>28</v>
      </c>
    </row>
    <row r="594" ht="24" customHeight="1" spans="1:9">
      <c r="A594" s="14" t="str">
        <f>"15112011913"</f>
        <v>15112011913</v>
      </c>
      <c r="B594" s="15" t="s">
        <v>24</v>
      </c>
      <c r="C594" s="14" t="s">
        <v>12</v>
      </c>
      <c r="D594" s="16">
        <v>34.64</v>
      </c>
      <c r="E594" s="16">
        <f t="shared" si="18"/>
        <v>20.784</v>
      </c>
      <c r="F594" s="14">
        <v>2.5</v>
      </c>
      <c r="G594" s="14"/>
      <c r="H594" s="16">
        <f t="shared" si="19"/>
        <v>23.284</v>
      </c>
      <c r="I594" s="14">
        <v>29</v>
      </c>
    </row>
    <row r="595" ht="24" customHeight="1" spans="1:9">
      <c r="A595" s="14" t="str">
        <f>"15112011905"</f>
        <v>15112011905</v>
      </c>
      <c r="B595" s="15" t="s">
        <v>24</v>
      </c>
      <c r="C595" s="14" t="s">
        <v>11</v>
      </c>
      <c r="D595" s="16">
        <v>38.76</v>
      </c>
      <c r="E595" s="16">
        <f t="shared" si="18"/>
        <v>23.256</v>
      </c>
      <c r="F595" s="14"/>
      <c r="G595" s="14"/>
      <c r="H595" s="16">
        <f t="shared" si="19"/>
        <v>23.256</v>
      </c>
      <c r="I595" s="14">
        <v>30</v>
      </c>
    </row>
    <row r="596" ht="24" customHeight="1" spans="1:9">
      <c r="A596" s="14" t="str">
        <f>"15112011916"</f>
        <v>15112011916</v>
      </c>
      <c r="B596" s="15" t="s">
        <v>24</v>
      </c>
      <c r="C596" s="14" t="s">
        <v>11</v>
      </c>
      <c r="D596" s="16">
        <v>35.64</v>
      </c>
      <c r="E596" s="16">
        <f t="shared" si="18"/>
        <v>21.384</v>
      </c>
      <c r="F596" s="14"/>
      <c r="G596" s="14"/>
      <c r="H596" s="16">
        <f t="shared" si="19"/>
        <v>21.384</v>
      </c>
      <c r="I596" s="14">
        <v>31</v>
      </c>
    </row>
    <row r="597" ht="24" customHeight="1" spans="1:9">
      <c r="A597" s="14" t="str">
        <f>"15112011910"</f>
        <v>15112011910</v>
      </c>
      <c r="B597" s="15" t="s">
        <v>24</v>
      </c>
      <c r="C597" s="14" t="s">
        <v>11</v>
      </c>
      <c r="D597" s="16">
        <v>-1</v>
      </c>
      <c r="E597" s="16">
        <f t="shared" si="18"/>
        <v>-0.6</v>
      </c>
      <c r="F597" s="14"/>
      <c r="G597" s="14"/>
      <c r="H597" s="16">
        <f t="shared" si="19"/>
        <v>-0.6</v>
      </c>
      <c r="I597" s="14">
        <v>32</v>
      </c>
    </row>
    <row r="598" ht="24" customHeight="1" spans="1:9">
      <c r="A598" s="11" t="str">
        <f>"15113013618"</f>
        <v>15113013618</v>
      </c>
      <c r="B598" s="12" t="s">
        <v>25</v>
      </c>
      <c r="C598" s="11" t="s">
        <v>11</v>
      </c>
      <c r="D598" s="13">
        <v>79.56</v>
      </c>
      <c r="E598" s="13">
        <f t="shared" si="18"/>
        <v>47.736</v>
      </c>
      <c r="F598" s="11"/>
      <c r="G598" s="11"/>
      <c r="H598" s="13">
        <f t="shared" si="19"/>
        <v>47.736</v>
      </c>
      <c r="I598" s="11">
        <v>1</v>
      </c>
    </row>
    <row r="599" ht="24" customHeight="1" spans="1:9">
      <c r="A599" s="11" t="str">
        <f>"15113013601"</f>
        <v>15113013601</v>
      </c>
      <c r="B599" s="12" t="s">
        <v>25</v>
      </c>
      <c r="C599" s="11" t="s">
        <v>11</v>
      </c>
      <c r="D599" s="13">
        <v>78.56</v>
      </c>
      <c r="E599" s="13">
        <f t="shared" si="18"/>
        <v>47.136</v>
      </c>
      <c r="F599" s="11"/>
      <c r="G599" s="11"/>
      <c r="H599" s="13">
        <f t="shared" si="19"/>
        <v>47.136</v>
      </c>
      <c r="I599" s="11">
        <v>2</v>
      </c>
    </row>
    <row r="600" ht="24" customHeight="1" spans="1:9">
      <c r="A600" s="11" t="str">
        <f>"15113013617"</f>
        <v>15113013617</v>
      </c>
      <c r="B600" s="12" t="s">
        <v>25</v>
      </c>
      <c r="C600" s="11" t="s">
        <v>12</v>
      </c>
      <c r="D600" s="13">
        <v>74.12</v>
      </c>
      <c r="E600" s="13">
        <f t="shared" si="18"/>
        <v>44.472</v>
      </c>
      <c r="F600" s="11">
        <v>2.5</v>
      </c>
      <c r="G600" s="11"/>
      <c r="H600" s="13">
        <f t="shared" si="19"/>
        <v>46.972</v>
      </c>
      <c r="I600" s="11">
        <v>3</v>
      </c>
    </row>
    <row r="601" ht="24" customHeight="1" spans="1:9">
      <c r="A601" s="14" t="str">
        <f>"15113013607"</f>
        <v>15113013607</v>
      </c>
      <c r="B601" s="15" t="s">
        <v>25</v>
      </c>
      <c r="C601" s="14" t="s">
        <v>11</v>
      </c>
      <c r="D601" s="16">
        <v>77.56</v>
      </c>
      <c r="E601" s="16">
        <f t="shared" si="18"/>
        <v>46.536</v>
      </c>
      <c r="F601" s="14"/>
      <c r="G601" s="14"/>
      <c r="H601" s="16">
        <f t="shared" si="19"/>
        <v>46.536</v>
      </c>
      <c r="I601" s="14">
        <v>4</v>
      </c>
    </row>
    <row r="602" ht="24" customHeight="1" spans="1:9">
      <c r="A602" s="14" t="str">
        <f>"15113013518"</f>
        <v>15113013518</v>
      </c>
      <c r="B602" s="15" t="s">
        <v>25</v>
      </c>
      <c r="C602" s="14" t="s">
        <v>11</v>
      </c>
      <c r="D602" s="16">
        <v>76.8</v>
      </c>
      <c r="E602" s="16">
        <f t="shared" si="18"/>
        <v>46.08</v>
      </c>
      <c r="F602" s="14"/>
      <c r="G602" s="14"/>
      <c r="H602" s="16">
        <f t="shared" si="19"/>
        <v>46.08</v>
      </c>
      <c r="I602" s="14">
        <v>5</v>
      </c>
    </row>
    <row r="603" ht="24" customHeight="1" spans="1:9">
      <c r="A603" s="14" t="str">
        <f>"15113013502"</f>
        <v>15113013502</v>
      </c>
      <c r="B603" s="15" t="s">
        <v>25</v>
      </c>
      <c r="C603" s="14" t="s">
        <v>11</v>
      </c>
      <c r="D603" s="16">
        <v>76.04</v>
      </c>
      <c r="E603" s="16">
        <f t="shared" si="18"/>
        <v>45.624</v>
      </c>
      <c r="F603" s="14"/>
      <c r="G603" s="14"/>
      <c r="H603" s="16">
        <f t="shared" si="19"/>
        <v>45.624</v>
      </c>
      <c r="I603" s="14">
        <v>6</v>
      </c>
    </row>
    <row r="604" ht="24" customHeight="1" spans="1:9">
      <c r="A604" s="14" t="str">
        <f>"15113013511"</f>
        <v>15113013511</v>
      </c>
      <c r="B604" s="15" t="s">
        <v>25</v>
      </c>
      <c r="C604" s="14" t="s">
        <v>11</v>
      </c>
      <c r="D604" s="16">
        <v>75.88</v>
      </c>
      <c r="E604" s="16">
        <f t="shared" si="18"/>
        <v>45.528</v>
      </c>
      <c r="F604" s="14"/>
      <c r="G604" s="14"/>
      <c r="H604" s="16">
        <f t="shared" si="19"/>
        <v>45.528</v>
      </c>
      <c r="I604" s="14">
        <v>7</v>
      </c>
    </row>
    <row r="605" ht="24" customHeight="1" spans="1:9">
      <c r="A605" s="14" t="str">
        <f>"15113013526"</f>
        <v>15113013526</v>
      </c>
      <c r="B605" s="15" t="s">
        <v>25</v>
      </c>
      <c r="C605" s="14" t="s">
        <v>11</v>
      </c>
      <c r="D605" s="16">
        <v>75.88</v>
      </c>
      <c r="E605" s="16">
        <f t="shared" si="18"/>
        <v>45.528</v>
      </c>
      <c r="F605" s="14"/>
      <c r="G605" s="14"/>
      <c r="H605" s="16">
        <f t="shared" si="19"/>
        <v>45.528</v>
      </c>
      <c r="I605" s="14">
        <v>8</v>
      </c>
    </row>
    <row r="606" ht="24" customHeight="1" spans="1:9">
      <c r="A606" s="14" t="str">
        <f>"15113013623"</f>
        <v>15113013623</v>
      </c>
      <c r="B606" s="15" t="s">
        <v>25</v>
      </c>
      <c r="C606" s="14" t="s">
        <v>11</v>
      </c>
      <c r="D606" s="16">
        <v>75.88</v>
      </c>
      <c r="E606" s="16">
        <f t="shared" si="18"/>
        <v>45.528</v>
      </c>
      <c r="F606" s="14"/>
      <c r="G606" s="14"/>
      <c r="H606" s="16">
        <f t="shared" si="19"/>
        <v>45.528</v>
      </c>
      <c r="I606" s="14">
        <v>9</v>
      </c>
    </row>
    <row r="607" ht="24" customHeight="1" spans="1:9">
      <c r="A607" s="14" t="str">
        <f>"15113013516"</f>
        <v>15113013516</v>
      </c>
      <c r="B607" s="15" t="s">
        <v>25</v>
      </c>
      <c r="C607" s="14" t="s">
        <v>12</v>
      </c>
      <c r="D607" s="16">
        <v>70.16</v>
      </c>
      <c r="E607" s="16">
        <f t="shared" si="18"/>
        <v>42.096</v>
      </c>
      <c r="F607" s="14">
        <v>2.5</v>
      </c>
      <c r="G607" s="14"/>
      <c r="H607" s="16">
        <f t="shared" si="19"/>
        <v>44.596</v>
      </c>
      <c r="I607" s="14">
        <v>10</v>
      </c>
    </row>
    <row r="608" ht="24" customHeight="1" spans="1:9">
      <c r="A608" s="14" t="str">
        <f>"15113013604"</f>
        <v>15113013604</v>
      </c>
      <c r="B608" s="15" t="s">
        <v>25</v>
      </c>
      <c r="C608" s="14" t="s">
        <v>12</v>
      </c>
      <c r="D608" s="16">
        <v>69.16</v>
      </c>
      <c r="E608" s="16">
        <f t="shared" si="18"/>
        <v>41.496</v>
      </c>
      <c r="F608" s="14">
        <v>2.5</v>
      </c>
      <c r="G608" s="14"/>
      <c r="H608" s="16">
        <f t="shared" si="19"/>
        <v>43.996</v>
      </c>
      <c r="I608" s="14">
        <v>11</v>
      </c>
    </row>
    <row r="609" ht="24" customHeight="1" spans="1:9">
      <c r="A609" s="14" t="str">
        <f>"15113013513"</f>
        <v>15113013513</v>
      </c>
      <c r="B609" s="15" t="s">
        <v>25</v>
      </c>
      <c r="C609" s="14" t="s">
        <v>12</v>
      </c>
      <c r="D609" s="16">
        <v>69</v>
      </c>
      <c r="E609" s="16">
        <f t="shared" si="18"/>
        <v>41.4</v>
      </c>
      <c r="F609" s="14">
        <v>2.5</v>
      </c>
      <c r="G609" s="14"/>
      <c r="H609" s="16">
        <f t="shared" si="19"/>
        <v>43.9</v>
      </c>
      <c r="I609" s="14">
        <v>12</v>
      </c>
    </row>
    <row r="610" ht="24" customHeight="1" spans="1:9">
      <c r="A610" s="14" t="str">
        <f>"15113013523"</f>
        <v>15113013523</v>
      </c>
      <c r="B610" s="15" t="s">
        <v>25</v>
      </c>
      <c r="C610" s="14" t="s">
        <v>11</v>
      </c>
      <c r="D610" s="16">
        <v>72.52</v>
      </c>
      <c r="E610" s="16">
        <f t="shared" si="18"/>
        <v>43.512</v>
      </c>
      <c r="F610" s="14"/>
      <c r="G610" s="14"/>
      <c r="H610" s="16">
        <f t="shared" si="19"/>
        <v>43.512</v>
      </c>
      <c r="I610" s="14">
        <v>13</v>
      </c>
    </row>
    <row r="611" ht="24" customHeight="1" spans="1:9">
      <c r="A611" s="14" t="str">
        <f>"15113013514"</f>
        <v>15113013514</v>
      </c>
      <c r="B611" s="15" t="s">
        <v>25</v>
      </c>
      <c r="C611" s="14" t="s">
        <v>11</v>
      </c>
      <c r="D611" s="16">
        <v>71.84</v>
      </c>
      <c r="E611" s="16">
        <f t="shared" si="18"/>
        <v>43.104</v>
      </c>
      <c r="F611" s="14"/>
      <c r="G611" s="14"/>
      <c r="H611" s="16">
        <f t="shared" si="19"/>
        <v>43.104</v>
      </c>
      <c r="I611" s="14">
        <v>14</v>
      </c>
    </row>
    <row r="612" ht="24" customHeight="1" spans="1:9">
      <c r="A612" s="14" t="str">
        <f>"15113013520"</f>
        <v>15113013520</v>
      </c>
      <c r="B612" s="15" t="s">
        <v>25</v>
      </c>
      <c r="C612" s="14" t="s">
        <v>11</v>
      </c>
      <c r="D612" s="16">
        <v>71.68</v>
      </c>
      <c r="E612" s="16">
        <f t="shared" si="18"/>
        <v>43.008</v>
      </c>
      <c r="F612" s="14"/>
      <c r="G612" s="14"/>
      <c r="H612" s="16">
        <f t="shared" si="19"/>
        <v>43.008</v>
      </c>
      <c r="I612" s="14">
        <v>15</v>
      </c>
    </row>
    <row r="613" ht="24" customHeight="1" spans="1:9">
      <c r="A613" s="14" t="str">
        <f>"15113013603"</f>
        <v>15113013603</v>
      </c>
      <c r="B613" s="15" t="s">
        <v>25</v>
      </c>
      <c r="C613" s="14" t="s">
        <v>11</v>
      </c>
      <c r="D613" s="16">
        <v>71.68</v>
      </c>
      <c r="E613" s="16">
        <f t="shared" si="18"/>
        <v>43.008</v>
      </c>
      <c r="F613" s="14"/>
      <c r="G613" s="14"/>
      <c r="H613" s="16">
        <f t="shared" si="19"/>
        <v>43.008</v>
      </c>
      <c r="I613" s="14">
        <v>16</v>
      </c>
    </row>
    <row r="614" ht="24" customHeight="1" spans="1:9">
      <c r="A614" s="14" t="str">
        <f>"15113013505"</f>
        <v>15113013505</v>
      </c>
      <c r="B614" s="15" t="s">
        <v>25</v>
      </c>
      <c r="C614" s="14" t="s">
        <v>11</v>
      </c>
      <c r="D614" s="16">
        <v>71.6</v>
      </c>
      <c r="E614" s="16">
        <f t="shared" si="18"/>
        <v>42.96</v>
      </c>
      <c r="F614" s="14"/>
      <c r="G614" s="14"/>
      <c r="H614" s="16">
        <f t="shared" si="19"/>
        <v>42.96</v>
      </c>
      <c r="I614" s="14">
        <v>17</v>
      </c>
    </row>
    <row r="615" ht="24" customHeight="1" spans="1:9">
      <c r="A615" s="14" t="str">
        <f>"15113013527"</f>
        <v>15113013527</v>
      </c>
      <c r="B615" s="15" t="s">
        <v>25</v>
      </c>
      <c r="C615" s="14" t="s">
        <v>11</v>
      </c>
      <c r="D615" s="16">
        <v>70.84</v>
      </c>
      <c r="E615" s="16">
        <f t="shared" si="18"/>
        <v>42.504</v>
      </c>
      <c r="F615" s="14"/>
      <c r="G615" s="14"/>
      <c r="H615" s="16">
        <f t="shared" si="19"/>
        <v>42.504</v>
      </c>
      <c r="I615" s="14">
        <v>18</v>
      </c>
    </row>
    <row r="616" ht="24" customHeight="1" spans="1:9">
      <c r="A616" s="14" t="str">
        <f>"15113013624"</f>
        <v>15113013624</v>
      </c>
      <c r="B616" s="15" t="s">
        <v>25</v>
      </c>
      <c r="C616" s="14" t="s">
        <v>11</v>
      </c>
      <c r="D616" s="16">
        <v>70.68</v>
      </c>
      <c r="E616" s="16">
        <f t="shared" si="18"/>
        <v>42.408</v>
      </c>
      <c r="F616" s="14"/>
      <c r="G616" s="14"/>
      <c r="H616" s="16">
        <f t="shared" si="19"/>
        <v>42.408</v>
      </c>
      <c r="I616" s="14">
        <v>19</v>
      </c>
    </row>
    <row r="617" ht="24" customHeight="1" spans="1:9">
      <c r="A617" s="14" t="str">
        <f>"15113013522"</f>
        <v>15113013522</v>
      </c>
      <c r="B617" s="15" t="s">
        <v>25</v>
      </c>
      <c r="C617" s="14" t="s">
        <v>11</v>
      </c>
      <c r="D617" s="16">
        <v>70</v>
      </c>
      <c r="E617" s="16">
        <f t="shared" si="18"/>
        <v>42</v>
      </c>
      <c r="F617" s="14"/>
      <c r="G617" s="14"/>
      <c r="H617" s="16">
        <f t="shared" si="19"/>
        <v>42</v>
      </c>
      <c r="I617" s="14">
        <v>20</v>
      </c>
    </row>
    <row r="618" ht="24" customHeight="1" spans="1:9">
      <c r="A618" s="14" t="str">
        <f>"15113013517"</f>
        <v>15113013517</v>
      </c>
      <c r="B618" s="15" t="s">
        <v>25</v>
      </c>
      <c r="C618" s="14" t="s">
        <v>11</v>
      </c>
      <c r="D618" s="16">
        <v>69.32</v>
      </c>
      <c r="E618" s="16">
        <f t="shared" si="18"/>
        <v>41.592</v>
      </c>
      <c r="F618" s="14"/>
      <c r="G618" s="14"/>
      <c r="H618" s="16">
        <f t="shared" si="19"/>
        <v>41.592</v>
      </c>
      <c r="I618" s="14">
        <v>21</v>
      </c>
    </row>
    <row r="619" ht="24" customHeight="1" spans="1:9">
      <c r="A619" s="14" t="str">
        <f>"15113013609"</f>
        <v>15113013609</v>
      </c>
      <c r="B619" s="15" t="s">
        <v>25</v>
      </c>
      <c r="C619" s="14" t="s">
        <v>11</v>
      </c>
      <c r="D619" s="16">
        <v>69.32</v>
      </c>
      <c r="E619" s="16">
        <f t="shared" si="18"/>
        <v>41.592</v>
      </c>
      <c r="F619" s="14"/>
      <c r="G619" s="14"/>
      <c r="H619" s="16">
        <f t="shared" si="19"/>
        <v>41.592</v>
      </c>
      <c r="I619" s="14">
        <v>22</v>
      </c>
    </row>
    <row r="620" ht="24" customHeight="1" spans="1:9">
      <c r="A620" s="14" t="str">
        <f>"15113013507"</f>
        <v>15113013507</v>
      </c>
      <c r="B620" s="15" t="s">
        <v>25</v>
      </c>
      <c r="C620" s="14" t="s">
        <v>11</v>
      </c>
      <c r="D620" s="16">
        <v>69.24</v>
      </c>
      <c r="E620" s="16">
        <f t="shared" si="18"/>
        <v>41.544</v>
      </c>
      <c r="F620" s="14"/>
      <c r="G620" s="14"/>
      <c r="H620" s="16">
        <f t="shared" si="19"/>
        <v>41.544</v>
      </c>
      <c r="I620" s="14">
        <v>23</v>
      </c>
    </row>
    <row r="621" ht="24" customHeight="1" spans="1:9">
      <c r="A621" s="14" t="str">
        <f>"15113013613"</f>
        <v>15113013613</v>
      </c>
      <c r="B621" s="15" t="s">
        <v>25</v>
      </c>
      <c r="C621" s="14" t="s">
        <v>11</v>
      </c>
      <c r="D621" s="16">
        <v>69.24</v>
      </c>
      <c r="E621" s="16">
        <f t="shared" si="18"/>
        <v>41.544</v>
      </c>
      <c r="F621" s="14"/>
      <c r="G621" s="14"/>
      <c r="H621" s="16">
        <f t="shared" si="19"/>
        <v>41.544</v>
      </c>
      <c r="I621" s="14">
        <v>24</v>
      </c>
    </row>
    <row r="622" ht="24" customHeight="1" spans="1:9">
      <c r="A622" s="14" t="str">
        <f>"15113013611"</f>
        <v>15113013611</v>
      </c>
      <c r="B622" s="15" t="s">
        <v>25</v>
      </c>
      <c r="C622" s="14" t="s">
        <v>11</v>
      </c>
      <c r="D622" s="16">
        <v>69</v>
      </c>
      <c r="E622" s="16">
        <f t="shared" si="18"/>
        <v>41.4</v>
      </c>
      <c r="F622" s="14"/>
      <c r="G622" s="14"/>
      <c r="H622" s="16">
        <f t="shared" si="19"/>
        <v>41.4</v>
      </c>
      <c r="I622" s="14">
        <v>25</v>
      </c>
    </row>
    <row r="623" ht="24" customHeight="1" spans="1:9">
      <c r="A623" s="14" t="str">
        <f>"15113013521"</f>
        <v>15113013521</v>
      </c>
      <c r="B623" s="15" t="s">
        <v>25</v>
      </c>
      <c r="C623" s="14" t="s">
        <v>11</v>
      </c>
      <c r="D623" s="16">
        <v>68.4</v>
      </c>
      <c r="E623" s="16">
        <f t="shared" si="18"/>
        <v>41.04</v>
      </c>
      <c r="F623" s="14"/>
      <c r="G623" s="14"/>
      <c r="H623" s="16">
        <f t="shared" si="19"/>
        <v>41.04</v>
      </c>
      <c r="I623" s="14">
        <v>26</v>
      </c>
    </row>
    <row r="624" ht="24" customHeight="1" spans="1:9">
      <c r="A624" s="14" t="str">
        <f>"15113013608"</f>
        <v>15113013608</v>
      </c>
      <c r="B624" s="15" t="s">
        <v>25</v>
      </c>
      <c r="C624" s="14" t="s">
        <v>11</v>
      </c>
      <c r="D624" s="16">
        <v>68.32</v>
      </c>
      <c r="E624" s="16">
        <f t="shared" si="18"/>
        <v>40.992</v>
      </c>
      <c r="F624" s="14"/>
      <c r="G624" s="14"/>
      <c r="H624" s="16">
        <f t="shared" si="19"/>
        <v>40.992</v>
      </c>
      <c r="I624" s="14">
        <v>27</v>
      </c>
    </row>
    <row r="625" ht="24" customHeight="1" spans="1:9">
      <c r="A625" s="14" t="str">
        <f>"15113013501"</f>
        <v>15113013501</v>
      </c>
      <c r="B625" s="15" t="s">
        <v>25</v>
      </c>
      <c r="C625" s="14" t="s">
        <v>12</v>
      </c>
      <c r="D625" s="16">
        <v>63.52</v>
      </c>
      <c r="E625" s="16">
        <f t="shared" si="18"/>
        <v>38.112</v>
      </c>
      <c r="F625" s="14">
        <v>2.5</v>
      </c>
      <c r="G625" s="14"/>
      <c r="H625" s="16">
        <f t="shared" si="19"/>
        <v>40.612</v>
      </c>
      <c r="I625" s="14">
        <v>28</v>
      </c>
    </row>
    <row r="626" ht="24" customHeight="1" spans="1:9">
      <c r="A626" s="14" t="str">
        <f>"15113013515"</f>
        <v>15113013515</v>
      </c>
      <c r="B626" s="15" t="s">
        <v>25</v>
      </c>
      <c r="C626" s="14" t="s">
        <v>11</v>
      </c>
      <c r="D626" s="16">
        <v>67.56</v>
      </c>
      <c r="E626" s="16">
        <f t="shared" si="18"/>
        <v>40.536</v>
      </c>
      <c r="F626" s="14"/>
      <c r="G626" s="14"/>
      <c r="H626" s="16">
        <f t="shared" si="19"/>
        <v>40.536</v>
      </c>
      <c r="I626" s="14">
        <v>29</v>
      </c>
    </row>
    <row r="627" ht="24" customHeight="1" spans="1:9">
      <c r="A627" s="14" t="str">
        <f>"15113013519"</f>
        <v>15113013519</v>
      </c>
      <c r="B627" s="15" t="s">
        <v>25</v>
      </c>
      <c r="C627" s="14" t="s">
        <v>11</v>
      </c>
      <c r="D627" s="16">
        <v>67.56</v>
      </c>
      <c r="E627" s="16">
        <f t="shared" si="18"/>
        <v>40.536</v>
      </c>
      <c r="F627" s="14"/>
      <c r="G627" s="14"/>
      <c r="H627" s="16">
        <f t="shared" si="19"/>
        <v>40.536</v>
      </c>
      <c r="I627" s="14">
        <v>30</v>
      </c>
    </row>
    <row r="628" ht="24" customHeight="1" spans="1:9">
      <c r="A628" s="14" t="str">
        <f>"15113013610"</f>
        <v>15113013610</v>
      </c>
      <c r="B628" s="15" t="s">
        <v>25</v>
      </c>
      <c r="C628" s="14" t="s">
        <v>12</v>
      </c>
      <c r="D628" s="16">
        <v>63.28</v>
      </c>
      <c r="E628" s="16">
        <f t="shared" si="18"/>
        <v>37.968</v>
      </c>
      <c r="F628" s="14">
        <v>2.5</v>
      </c>
      <c r="G628" s="14"/>
      <c r="H628" s="16">
        <f t="shared" si="19"/>
        <v>40.468</v>
      </c>
      <c r="I628" s="14">
        <v>31</v>
      </c>
    </row>
    <row r="629" ht="24" customHeight="1" spans="1:9">
      <c r="A629" s="14" t="str">
        <f>"15113013606"</f>
        <v>15113013606</v>
      </c>
      <c r="B629" s="15" t="s">
        <v>25</v>
      </c>
      <c r="C629" s="14" t="s">
        <v>11</v>
      </c>
      <c r="D629" s="16">
        <v>67.4</v>
      </c>
      <c r="E629" s="16">
        <f t="shared" si="18"/>
        <v>40.44</v>
      </c>
      <c r="F629" s="14"/>
      <c r="G629" s="14"/>
      <c r="H629" s="16">
        <f t="shared" si="19"/>
        <v>40.44</v>
      </c>
      <c r="I629" s="14">
        <v>32</v>
      </c>
    </row>
    <row r="630" ht="24" customHeight="1" spans="1:9">
      <c r="A630" s="14" t="str">
        <f>"15113013504"</f>
        <v>15113013504</v>
      </c>
      <c r="B630" s="15" t="s">
        <v>25</v>
      </c>
      <c r="C630" s="14" t="s">
        <v>11</v>
      </c>
      <c r="D630" s="16">
        <v>66.72</v>
      </c>
      <c r="E630" s="16">
        <f t="shared" si="18"/>
        <v>40.032</v>
      </c>
      <c r="F630" s="14"/>
      <c r="G630" s="14"/>
      <c r="H630" s="16">
        <f t="shared" si="19"/>
        <v>40.032</v>
      </c>
      <c r="I630" s="14">
        <v>33</v>
      </c>
    </row>
    <row r="631" ht="24" customHeight="1" spans="1:9">
      <c r="A631" s="14" t="str">
        <f>"15113013619"</f>
        <v>15113013619</v>
      </c>
      <c r="B631" s="15" t="s">
        <v>25</v>
      </c>
      <c r="C631" s="14" t="s">
        <v>11</v>
      </c>
      <c r="D631" s="16">
        <v>65.8</v>
      </c>
      <c r="E631" s="16">
        <f t="shared" si="18"/>
        <v>39.48</v>
      </c>
      <c r="F631" s="14"/>
      <c r="G631" s="14"/>
      <c r="H631" s="16">
        <f t="shared" si="19"/>
        <v>39.48</v>
      </c>
      <c r="I631" s="14">
        <v>34</v>
      </c>
    </row>
    <row r="632" ht="24" customHeight="1" spans="1:9">
      <c r="A632" s="14" t="str">
        <f>"15113013620"</f>
        <v>15113013620</v>
      </c>
      <c r="B632" s="15" t="s">
        <v>25</v>
      </c>
      <c r="C632" s="14" t="s">
        <v>11</v>
      </c>
      <c r="D632" s="16">
        <v>65.8</v>
      </c>
      <c r="E632" s="16">
        <f t="shared" si="18"/>
        <v>39.48</v>
      </c>
      <c r="F632" s="14"/>
      <c r="G632" s="14"/>
      <c r="H632" s="16">
        <f t="shared" si="19"/>
        <v>39.48</v>
      </c>
      <c r="I632" s="14">
        <v>35</v>
      </c>
    </row>
    <row r="633" ht="24" customHeight="1" spans="1:9">
      <c r="A633" s="14" t="str">
        <f>"15113013528"</f>
        <v>15113013528</v>
      </c>
      <c r="B633" s="15" t="s">
        <v>25</v>
      </c>
      <c r="C633" s="14" t="s">
        <v>11</v>
      </c>
      <c r="D633" s="16">
        <v>65.28</v>
      </c>
      <c r="E633" s="16">
        <f t="shared" si="18"/>
        <v>39.168</v>
      </c>
      <c r="F633" s="14"/>
      <c r="G633" s="14"/>
      <c r="H633" s="16">
        <f t="shared" si="19"/>
        <v>39.168</v>
      </c>
      <c r="I633" s="14">
        <v>36</v>
      </c>
    </row>
    <row r="634" ht="24" customHeight="1" spans="1:9">
      <c r="A634" s="14" t="str">
        <f>"15113013503"</f>
        <v>15113013503</v>
      </c>
      <c r="B634" s="15" t="s">
        <v>25</v>
      </c>
      <c r="C634" s="14" t="s">
        <v>11</v>
      </c>
      <c r="D634" s="16">
        <v>65.12</v>
      </c>
      <c r="E634" s="16">
        <f t="shared" si="18"/>
        <v>39.072</v>
      </c>
      <c r="F634" s="14"/>
      <c r="G634" s="14"/>
      <c r="H634" s="16">
        <f t="shared" si="19"/>
        <v>39.072</v>
      </c>
      <c r="I634" s="14">
        <v>37</v>
      </c>
    </row>
    <row r="635" ht="24" customHeight="1" spans="1:9">
      <c r="A635" s="14" t="str">
        <f>"15113013512"</f>
        <v>15113013512</v>
      </c>
      <c r="B635" s="15" t="s">
        <v>25</v>
      </c>
      <c r="C635" s="14" t="s">
        <v>11</v>
      </c>
      <c r="D635" s="16">
        <v>65.04</v>
      </c>
      <c r="E635" s="16">
        <f t="shared" si="18"/>
        <v>39.024</v>
      </c>
      <c r="F635" s="14"/>
      <c r="G635" s="14"/>
      <c r="H635" s="16">
        <f t="shared" si="19"/>
        <v>39.024</v>
      </c>
      <c r="I635" s="14">
        <v>38</v>
      </c>
    </row>
    <row r="636" ht="24" customHeight="1" spans="1:9">
      <c r="A636" s="14" t="str">
        <f>"15113013529"</f>
        <v>15113013529</v>
      </c>
      <c r="B636" s="15" t="s">
        <v>25</v>
      </c>
      <c r="C636" s="14" t="s">
        <v>11</v>
      </c>
      <c r="D636" s="16">
        <v>65.04</v>
      </c>
      <c r="E636" s="16">
        <f t="shared" si="18"/>
        <v>39.024</v>
      </c>
      <c r="F636" s="14"/>
      <c r="G636" s="14"/>
      <c r="H636" s="16">
        <f t="shared" si="19"/>
        <v>39.024</v>
      </c>
      <c r="I636" s="14">
        <v>39</v>
      </c>
    </row>
    <row r="637" ht="24" customHeight="1" spans="1:9">
      <c r="A637" s="14" t="str">
        <f>"15113013506"</f>
        <v>15113013506</v>
      </c>
      <c r="B637" s="15" t="s">
        <v>25</v>
      </c>
      <c r="C637" s="14" t="s">
        <v>11</v>
      </c>
      <c r="D637" s="16">
        <v>64.96</v>
      </c>
      <c r="E637" s="16">
        <f t="shared" si="18"/>
        <v>38.976</v>
      </c>
      <c r="F637" s="14"/>
      <c r="G637" s="14"/>
      <c r="H637" s="16">
        <f t="shared" si="19"/>
        <v>38.976</v>
      </c>
      <c r="I637" s="14">
        <v>40</v>
      </c>
    </row>
    <row r="638" ht="24" customHeight="1" spans="1:9">
      <c r="A638" s="14" t="str">
        <f>"15113013524"</f>
        <v>15113013524</v>
      </c>
      <c r="B638" s="15" t="s">
        <v>25</v>
      </c>
      <c r="C638" s="14" t="s">
        <v>11</v>
      </c>
      <c r="D638" s="16">
        <v>63.6</v>
      </c>
      <c r="E638" s="16">
        <f t="shared" si="18"/>
        <v>38.16</v>
      </c>
      <c r="F638" s="14"/>
      <c r="G638" s="14"/>
      <c r="H638" s="16">
        <f t="shared" si="19"/>
        <v>38.16</v>
      </c>
      <c r="I638" s="14">
        <v>41</v>
      </c>
    </row>
    <row r="639" ht="24" customHeight="1" spans="1:9">
      <c r="A639" s="14" t="str">
        <f>"15113013615"</f>
        <v>15113013615</v>
      </c>
      <c r="B639" s="15" t="s">
        <v>25</v>
      </c>
      <c r="C639" s="14" t="s">
        <v>11</v>
      </c>
      <c r="D639" s="16">
        <v>63.36</v>
      </c>
      <c r="E639" s="16">
        <f t="shared" si="18"/>
        <v>38.016</v>
      </c>
      <c r="F639" s="14"/>
      <c r="G639" s="14"/>
      <c r="H639" s="16">
        <f t="shared" si="19"/>
        <v>38.016</v>
      </c>
      <c r="I639" s="14">
        <v>42</v>
      </c>
    </row>
    <row r="640" ht="24" customHeight="1" spans="1:9">
      <c r="A640" s="14" t="str">
        <f>"15113013508"</f>
        <v>15113013508</v>
      </c>
      <c r="B640" s="15" t="s">
        <v>25</v>
      </c>
      <c r="C640" s="14" t="s">
        <v>11</v>
      </c>
      <c r="D640" s="16">
        <v>62.52</v>
      </c>
      <c r="E640" s="16">
        <f t="shared" si="18"/>
        <v>37.512</v>
      </c>
      <c r="F640" s="14"/>
      <c r="G640" s="14"/>
      <c r="H640" s="16">
        <f t="shared" si="19"/>
        <v>37.512</v>
      </c>
      <c r="I640" s="14">
        <v>43</v>
      </c>
    </row>
    <row r="641" ht="24" customHeight="1" spans="1:9">
      <c r="A641" s="14" t="str">
        <f>"15113013602"</f>
        <v>15113013602</v>
      </c>
      <c r="B641" s="15" t="s">
        <v>25</v>
      </c>
      <c r="C641" s="14" t="s">
        <v>11</v>
      </c>
      <c r="D641" s="16">
        <v>61.76</v>
      </c>
      <c r="E641" s="16">
        <f t="shared" si="18"/>
        <v>37.056</v>
      </c>
      <c r="F641" s="14"/>
      <c r="G641" s="14"/>
      <c r="H641" s="16">
        <f t="shared" si="19"/>
        <v>37.056</v>
      </c>
      <c r="I641" s="14">
        <v>44</v>
      </c>
    </row>
    <row r="642" ht="24" customHeight="1" spans="1:9">
      <c r="A642" s="14" t="str">
        <f>"15113013530"</f>
        <v>15113013530</v>
      </c>
      <c r="B642" s="15" t="s">
        <v>25</v>
      </c>
      <c r="C642" s="14" t="s">
        <v>11</v>
      </c>
      <c r="D642" s="16">
        <v>60.84</v>
      </c>
      <c r="E642" s="16">
        <f t="shared" si="18"/>
        <v>36.504</v>
      </c>
      <c r="F642" s="14"/>
      <c r="G642" s="14"/>
      <c r="H642" s="16">
        <f t="shared" si="19"/>
        <v>36.504</v>
      </c>
      <c r="I642" s="14">
        <v>45</v>
      </c>
    </row>
    <row r="643" ht="24" customHeight="1" spans="1:9">
      <c r="A643" s="14" t="str">
        <f>"15113013622"</f>
        <v>15113013622</v>
      </c>
      <c r="B643" s="15" t="s">
        <v>25</v>
      </c>
      <c r="C643" s="14" t="s">
        <v>11</v>
      </c>
      <c r="D643" s="16">
        <v>60.08</v>
      </c>
      <c r="E643" s="16">
        <f t="shared" ref="E643:E706" si="20">D643*0.6</f>
        <v>36.048</v>
      </c>
      <c r="F643" s="14"/>
      <c r="G643" s="14"/>
      <c r="H643" s="16">
        <f t="shared" ref="H643:H706" si="21">SUM(E643:G643)</f>
        <v>36.048</v>
      </c>
      <c r="I643" s="14">
        <v>46</v>
      </c>
    </row>
    <row r="644" ht="24" customHeight="1" spans="1:9">
      <c r="A644" s="14" t="str">
        <f>"15113013525"</f>
        <v>15113013525</v>
      </c>
      <c r="B644" s="15" t="s">
        <v>25</v>
      </c>
      <c r="C644" s="14" t="s">
        <v>11</v>
      </c>
      <c r="D644" s="16">
        <v>57.4</v>
      </c>
      <c r="E644" s="16">
        <f t="shared" si="20"/>
        <v>34.44</v>
      </c>
      <c r="F644" s="14"/>
      <c r="G644" s="14"/>
      <c r="H644" s="16">
        <f t="shared" si="21"/>
        <v>34.44</v>
      </c>
      <c r="I644" s="14">
        <v>47</v>
      </c>
    </row>
    <row r="645" ht="24" customHeight="1" spans="1:9">
      <c r="A645" s="14" t="str">
        <f>"15113013509"</f>
        <v>15113013509</v>
      </c>
      <c r="B645" s="15" t="s">
        <v>25</v>
      </c>
      <c r="C645" s="14" t="s">
        <v>11</v>
      </c>
      <c r="D645" s="16">
        <v>54.8</v>
      </c>
      <c r="E645" s="16">
        <f t="shared" si="20"/>
        <v>32.88</v>
      </c>
      <c r="F645" s="14"/>
      <c r="G645" s="14"/>
      <c r="H645" s="16">
        <f t="shared" si="21"/>
        <v>32.88</v>
      </c>
      <c r="I645" s="14">
        <v>48</v>
      </c>
    </row>
    <row r="646" ht="24" customHeight="1" spans="1:9">
      <c r="A646" s="14" t="str">
        <f>"15113013605"</f>
        <v>15113013605</v>
      </c>
      <c r="B646" s="15" t="s">
        <v>25</v>
      </c>
      <c r="C646" s="14" t="s">
        <v>11</v>
      </c>
      <c r="D646" s="16">
        <v>45.72</v>
      </c>
      <c r="E646" s="16">
        <f t="shared" si="20"/>
        <v>27.432</v>
      </c>
      <c r="F646" s="14"/>
      <c r="G646" s="14"/>
      <c r="H646" s="16">
        <f t="shared" si="21"/>
        <v>27.432</v>
      </c>
      <c r="I646" s="14">
        <v>49</v>
      </c>
    </row>
    <row r="647" ht="24" customHeight="1" spans="1:9">
      <c r="A647" s="14" t="str">
        <f>"15113013614"</f>
        <v>15113013614</v>
      </c>
      <c r="B647" s="15" t="s">
        <v>25</v>
      </c>
      <c r="C647" s="14" t="s">
        <v>11</v>
      </c>
      <c r="D647" s="16">
        <v>10.76</v>
      </c>
      <c r="E647" s="16">
        <f t="shared" si="20"/>
        <v>6.456</v>
      </c>
      <c r="F647" s="14"/>
      <c r="G647" s="14"/>
      <c r="H647" s="16">
        <f t="shared" si="21"/>
        <v>6.456</v>
      </c>
      <c r="I647" s="14">
        <v>50</v>
      </c>
    </row>
    <row r="648" ht="24" customHeight="1" spans="1:9">
      <c r="A648" s="14" t="str">
        <f>"15113013621"</f>
        <v>15113013621</v>
      </c>
      <c r="B648" s="15" t="s">
        <v>25</v>
      </c>
      <c r="C648" s="14" t="s">
        <v>12</v>
      </c>
      <c r="D648" s="16">
        <v>-1</v>
      </c>
      <c r="E648" s="16">
        <f t="shared" si="20"/>
        <v>-0.6</v>
      </c>
      <c r="F648" s="14">
        <v>2.5</v>
      </c>
      <c r="G648" s="14"/>
      <c r="H648" s="16">
        <f t="shared" si="21"/>
        <v>1.9</v>
      </c>
      <c r="I648" s="14">
        <v>51</v>
      </c>
    </row>
    <row r="649" ht="24" customHeight="1" spans="1:9">
      <c r="A649" s="14" t="str">
        <f>"15113013510"</f>
        <v>15113013510</v>
      </c>
      <c r="B649" s="15" t="s">
        <v>25</v>
      </c>
      <c r="C649" s="14" t="s">
        <v>11</v>
      </c>
      <c r="D649" s="16">
        <v>-1</v>
      </c>
      <c r="E649" s="16">
        <f t="shared" si="20"/>
        <v>-0.6</v>
      </c>
      <c r="F649" s="14"/>
      <c r="G649" s="14"/>
      <c r="H649" s="16">
        <f t="shared" si="21"/>
        <v>-0.6</v>
      </c>
      <c r="I649" s="14">
        <v>52</v>
      </c>
    </row>
    <row r="650" ht="24" customHeight="1" spans="1:9">
      <c r="A650" s="14" t="str">
        <f>"15113013612"</f>
        <v>15113013612</v>
      </c>
      <c r="B650" s="15" t="s">
        <v>25</v>
      </c>
      <c r="C650" s="14" t="s">
        <v>11</v>
      </c>
      <c r="D650" s="16">
        <v>-1</v>
      </c>
      <c r="E650" s="16">
        <f t="shared" si="20"/>
        <v>-0.6</v>
      </c>
      <c r="F650" s="14"/>
      <c r="G650" s="14"/>
      <c r="H650" s="16">
        <f t="shared" si="21"/>
        <v>-0.6</v>
      </c>
      <c r="I650" s="14">
        <v>53</v>
      </c>
    </row>
    <row r="651" ht="24" customHeight="1" spans="1:9">
      <c r="A651" s="14" t="str">
        <f>"15113013616"</f>
        <v>15113013616</v>
      </c>
      <c r="B651" s="15" t="s">
        <v>25</v>
      </c>
      <c r="C651" s="14" t="s">
        <v>11</v>
      </c>
      <c r="D651" s="16">
        <v>-1</v>
      </c>
      <c r="E651" s="16">
        <f t="shared" si="20"/>
        <v>-0.6</v>
      </c>
      <c r="F651" s="14"/>
      <c r="G651" s="14"/>
      <c r="H651" s="16">
        <f t="shared" si="21"/>
        <v>-0.6</v>
      </c>
      <c r="I651" s="14">
        <v>54</v>
      </c>
    </row>
    <row r="652" ht="24" customHeight="1" spans="1:9">
      <c r="A652" s="14" t="str">
        <f>"15113013625"</f>
        <v>15113013625</v>
      </c>
      <c r="B652" s="15" t="s">
        <v>25</v>
      </c>
      <c r="C652" s="14" t="s">
        <v>11</v>
      </c>
      <c r="D652" s="16">
        <v>-1</v>
      </c>
      <c r="E652" s="16">
        <f t="shared" si="20"/>
        <v>-0.6</v>
      </c>
      <c r="F652" s="14"/>
      <c r="G652" s="14"/>
      <c r="H652" s="16">
        <f t="shared" si="21"/>
        <v>-0.6</v>
      </c>
      <c r="I652" s="14">
        <v>55</v>
      </c>
    </row>
    <row r="653" ht="24" customHeight="1" spans="1:9">
      <c r="A653" s="14" t="str">
        <f>"15113013626"</f>
        <v>15113013626</v>
      </c>
      <c r="B653" s="15" t="s">
        <v>25</v>
      </c>
      <c r="C653" s="14" t="s">
        <v>11</v>
      </c>
      <c r="D653" s="16">
        <v>-1</v>
      </c>
      <c r="E653" s="16">
        <f t="shared" si="20"/>
        <v>-0.6</v>
      </c>
      <c r="F653" s="14"/>
      <c r="G653" s="14"/>
      <c r="H653" s="16">
        <f t="shared" si="21"/>
        <v>-0.6</v>
      </c>
      <c r="I653" s="14">
        <v>56</v>
      </c>
    </row>
    <row r="654" ht="24" customHeight="1" spans="1:9">
      <c r="A654" s="11" t="str">
        <f>"15114013815"</f>
        <v>15114013815</v>
      </c>
      <c r="B654" s="12" t="s">
        <v>26</v>
      </c>
      <c r="C654" s="11" t="s">
        <v>11</v>
      </c>
      <c r="D654" s="13">
        <v>82.68</v>
      </c>
      <c r="E654" s="13">
        <f t="shared" si="20"/>
        <v>49.608</v>
      </c>
      <c r="F654" s="11"/>
      <c r="G654" s="11"/>
      <c r="H654" s="13">
        <f t="shared" si="21"/>
        <v>49.608</v>
      </c>
      <c r="I654" s="11">
        <v>1</v>
      </c>
    </row>
    <row r="655" ht="24" customHeight="1" spans="1:9">
      <c r="A655" s="11" t="str">
        <f>"15114013821"</f>
        <v>15114013821</v>
      </c>
      <c r="B655" s="12" t="s">
        <v>26</v>
      </c>
      <c r="C655" s="11" t="s">
        <v>11</v>
      </c>
      <c r="D655" s="13">
        <v>82.52</v>
      </c>
      <c r="E655" s="13">
        <f t="shared" si="20"/>
        <v>49.512</v>
      </c>
      <c r="F655" s="11"/>
      <c r="G655" s="11"/>
      <c r="H655" s="13">
        <f t="shared" si="21"/>
        <v>49.512</v>
      </c>
      <c r="I655" s="11">
        <v>2</v>
      </c>
    </row>
    <row r="656" ht="24" customHeight="1" spans="1:9">
      <c r="A656" s="11" t="str">
        <f>"15114013925"</f>
        <v>15114013925</v>
      </c>
      <c r="B656" s="12" t="s">
        <v>26</v>
      </c>
      <c r="C656" s="11" t="s">
        <v>11</v>
      </c>
      <c r="D656" s="13">
        <v>82.44</v>
      </c>
      <c r="E656" s="13">
        <f t="shared" si="20"/>
        <v>49.464</v>
      </c>
      <c r="F656" s="11"/>
      <c r="G656" s="11"/>
      <c r="H656" s="13">
        <f t="shared" si="21"/>
        <v>49.464</v>
      </c>
      <c r="I656" s="11">
        <v>3</v>
      </c>
    </row>
    <row r="657" ht="24" customHeight="1" spans="1:9">
      <c r="A657" s="11" t="str">
        <f>"15114013703"</f>
        <v>15114013703</v>
      </c>
      <c r="B657" s="12" t="s">
        <v>26</v>
      </c>
      <c r="C657" s="11" t="s">
        <v>11</v>
      </c>
      <c r="D657" s="13">
        <v>80.68</v>
      </c>
      <c r="E657" s="13">
        <f t="shared" si="20"/>
        <v>48.408</v>
      </c>
      <c r="F657" s="11"/>
      <c r="G657" s="11"/>
      <c r="H657" s="13">
        <f t="shared" si="21"/>
        <v>48.408</v>
      </c>
      <c r="I657" s="11">
        <v>4</v>
      </c>
    </row>
    <row r="658" ht="24" customHeight="1" spans="1:9">
      <c r="A658" s="11" t="str">
        <f>"15114013708"</f>
        <v>15114013708</v>
      </c>
      <c r="B658" s="12" t="s">
        <v>26</v>
      </c>
      <c r="C658" s="11" t="s">
        <v>12</v>
      </c>
      <c r="D658" s="13">
        <v>74.2</v>
      </c>
      <c r="E658" s="13">
        <f t="shared" si="20"/>
        <v>44.52</v>
      </c>
      <c r="F658" s="11">
        <v>2.5</v>
      </c>
      <c r="G658" s="11"/>
      <c r="H658" s="13">
        <f t="shared" si="21"/>
        <v>47.02</v>
      </c>
      <c r="I658" s="11">
        <v>5</v>
      </c>
    </row>
    <row r="659" ht="24" customHeight="1" spans="1:9">
      <c r="A659" s="11" t="str">
        <f>"15114013719"</f>
        <v>15114013719</v>
      </c>
      <c r="B659" s="12" t="s">
        <v>26</v>
      </c>
      <c r="C659" s="11" t="s">
        <v>11</v>
      </c>
      <c r="D659" s="13">
        <v>77.64</v>
      </c>
      <c r="E659" s="13">
        <f t="shared" si="20"/>
        <v>46.584</v>
      </c>
      <c r="F659" s="11"/>
      <c r="G659" s="11"/>
      <c r="H659" s="13">
        <f t="shared" si="21"/>
        <v>46.584</v>
      </c>
      <c r="I659" s="11">
        <v>6</v>
      </c>
    </row>
    <row r="660" ht="24" customHeight="1" spans="1:9">
      <c r="A660" s="14" t="str">
        <f>"15114013810"</f>
        <v>15114013810</v>
      </c>
      <c r="B660" s="15" t="s">
        <v>26</v>
      </c>
      <c r="C660" s="14" t="s">
        <v>11</v>
      </c>
      <c r="D660" s="16">
        <v>77.64</v>
      </c>
      <c r="E660" s="16">
        <f t="shared" si="20"/>
        <v>46.584</v>
      </c>
      <c r="F660" s="14"/>
      <c r="G660" s="14"/>
      <c r="H660" s="16">
        <f t="shared" si="21"/>
        <v>46.584</v>
      </c>
      <c r="I660" s="14">
        <v>7</v>
      </c>
    </row>
    <row r="661" ht="24" customHeight="1" spans="1:9">
      <c r="A661" s="14" t="str">
        <f>"15114013904"</f>
        <v>15114013904</v>
      </c>
      <c r="B661" s="15" t="s">
        <v>26</v>
      </c>
      <c r="C661" s="14" t="s">
        <v>11</v>
      </c>
      <c r="D661" s="16">
        <v>76.8</v>
      </c>
      <c r="E661" s="16">
        <f t="shared" si="20"/>
        <v>46.08</v>
      </c>
      <c r="F661" s="14"/>
      <c r="G661" s="14"/>
      <c r="H661" s="16">
        <f t="shared" si="21"/>
        <v>46.08</v>
      </c>
      <c r="I661" s="14">
        <v>8</v>
      </c>
    </row>
    <row r="662" ht="24" customHeight="1" spans="1:9">
      <c r="A662" s="14" t="str">
        <f>"15114013629"</f>
        <v>15114013629</v>
      </c>
      <c r="B662" s="15" t="s">
        <v>26</v>
      </c>
      <c r="C662" s="14" t="s">
        <v>11</v>
      </c>
      <c r="D662" s="16">
        <v>76.72</v>
      </c>
      <c r="E662" s="16">
        <f t="shared" si="20"/>
        <v>46.032</v>
      </c>
      <c r="F662" s="14"/>
      <c r="G662" s="14"/>
      <c r="H662" s="16">
        <f t="shared" si="21"/>
        <v>46.032</v>
      </c>
      <c r="I662" s="14">
        <v>9</v>
      </c>
    </row>
    <row r="663" ht="24" customHeight="1" spans="1:9">
      <c r="A663" s="14" t="str">
        <f>"15114013827"</f>
        <v>15114013827</v>
      </c>
      <c r="B663" s="15" t="s">
        <v>26</v>
      </c>
      <c r="C663" s="14" t="s">
        <v>11</v>
      </c>
      <c r="D663" s="16">
        <v>76.72</v>
      </c>
      <c r="E663" s="16">
        <f t="shared" si="20"/>
        <v>46.032</v>
      </c>
      <c r="F663" s="14"/>
      <c r="G663" s="14"/>
      <c r="H663" s="16">
        <f t="shared" si="21"/>
        <v>46.032</v>
      </c>
      <c r="I663" s="14">
        <v>10</v>
      </c>
    </row>
    <row r="664" ht="24" customHeight="1" spans="1:9">
      <c r="A664" s="14" t="str">
        <f>"15114013822"</f>
        <v>15114013822</v>
      </c>
      <c r="B664" s="15" t="s">
        <v>26</v>
      </c>
      <c r="C664" s="14" t="s">
        <v>11</v>
      </c>
      <c r="D664" s="16">
        <v>76.56</v>
      </c>
      <c r="E664" s="16">
        <f t="shared" si="20"/>
        <v>45.936</v>
      </c>
      <c r="F664" s="14"/>
      <c r="G664" s="14"/>
      <c r="H664" s="16">
        <f t="shared" si="21"/>
        <v>45.936</v>
      </c>
      <c r="I664" s="14">
        <v>11</v>
      </c>
    </row>
    <row r="665" ht="24" customHeight="1" spans="1:9">
      <c r="A665" s="14" t="str">
        <f>"15114013725"</f>
        <v>15114013725</v>
      </c>
      <c r="B665" s="15" t="s">
        <v>26</v>
      </c>
      <c r="C665" s="14" t="s">
        <v>11</v>
      </c>
      <c r="D665" s="16">
        <v>76.04</v>
      </c>
      <c r="E665" s="16">
        <f t="shared" si="20"/>
        <v>45.624</v>
      </c>
      <c r="F665" s="14"/>
      <c r="G665" s="14"/>
      <c r="H665" s="16">
        <f t="shared" si="21"/>
        <v>45.624</v>
      </c>
      <c r="I665" s="14">
        <v>12</v>
      </c>
    </row>
    <row r="666" ht="24" customHeight="1" spans="1:9">
      <c r="A666" s="14" t="str">
        <f>"15114013828"</f>
        <v>15114013828</v>
      </c>
      <c r="B666" s="15" t="s">
        <v>26</v>
      </c>
      <c r="C666" s="14" t="s">
        <v>11</v>
      </c>
      <c r="D666" s="16">
        <v>76.04</v>
      </c>
      <c r="E666" s="16">
        <f t="shared" si="20"/>
        <v>45.624</v>
      </c>
      <c r="F666" s="14"/>
      <c r="G666" s="14"/>
      <c r="H666" s="16">
        <f t="shared" si="21"/>
        <v>45.624</v>
      </c>
      <c r="I666" s="14">
        <v>13</v>
      </c>
    </row>
    <row r="667" ht="24" customHeight="1" spans="1:9">
      <c r="A667" s="14" t="str">
        <f>"15114014010"</f>
        <v>15114014010</v>
      </c>
      <c r="B667" s="15" t="s">
        <v>26</v>
      </c>
      <c r="C667" s="14" t="s">
        <v>12</v>
      </c>
      <c r="D667" s="16">
        <v>71.84</v>
      </c>
      <c r="E667" s="16">
        <f t="shared" si="20"/>
        <v>43.104</v>
      </c>
      <c r="F667" s="14">
        <v>2.5</v>
      </c>
      <c r="G667" s="14"/>
      <c r="H667" s="16">
        <f t="shared" si="21"/>
        <v>45.604</v>
      </c>
      <c r="I667" s="14">
        <v>14</v>
      </c>
    </row>
    <row r="668" ht="24" customHeight="1" spans="1:9">
      <c r="A668" s="14" t="str">
        <f>"15114013728"</f>
        <v>15114013728</v>
      </c>
      <c r="B668" s="15" t="s">
        <v>26</v>
      </c>
      <c r="C668" s="14" t="s">
        <v>12</v>
      </c>
      <c r="D668" s="16">
        <v>71.68</v>
      </c>
      <c r="E668" s="16">
        <f t="shared" si="20"/>
        <v>43.008</v>
      </c>
      <c r="F668" s="14">
        <v>2.5</v>
      </c>
      <c r="G668" s="14"/>
      <c r="H668" s="16">
        <f t="shared" si="21"/>
        <v>45.508</v>
      </c>
      <c r="I668" s="14">
        <v>15</v>
      </c>
    </row>
    <row r="669" ht="24" customHeight="1" spans="1:9">
      <c r="A669" s="14" t="str">
        <f>"15114013723"</f>
        <v>15114013723</v>
      </c>
      <c r="B669" s="15" t="s">
        <v>26</v>
      </c>
      <c r="C669" s="14" t="s">
        <v>11</v>
      </c>
      <c r="D669" s="16">
        <v>75.72</v>
      </c>
      <c r="E669" s="16">
        <f t="shared" si="20"/>
        <v>45.432</v>
      </c>
      <c r="F669" s="14"/>
      <c r="G669" s="14"/>
      <c r="H669" s="16">
        <f t="shared" si="21"/>
        <v>45.432</v>
      </c>
      <c r="I669" s="14">
        <v>16</v>
      </c>
    </row>
    <row r="670" ht="24" customHeight="1" spans="1:9">
      <c r="A670" s="14" t="str">
        <f>"15114013814"</f>
        <v>15114013814</v>
      </c>
      <c r="B670" s="15" t="s">
        <v>26</v>
      </c>
      <c r="C670" s="14" t="s">
        <v>11</v>
      </c>
      <c r="D670" s="16">
        <v>75.2</v>
      </c>
      <c r="E670" s="16">
        <f t="shared" si="20"/>
        <v>45.12</v>
      </c>
      <c r="F670" s="14"/>
      <c r="G670" s="14"/>
      <c r="H670" s="16">
        <f t="shared" si="21"/>
        <v>45.12</v>
      </c>
      <c r="I670" s="14">
        <v>17</v>
      </c>
    </row>
    <row r="671" ht="24" customHeight="1" spans="1:9">
      <c r="A671" s="14" t="str">
        <f>"15114013924"</f>
        <v>15114013924</v>
      </c>
      <c r="B671" s="15" t="s">
        <v>26</v>
      </c>
      <c r="C671" s="14" t="s">
        <v>11</v>
      </c>
      <c r="D671" s="16">
        <v>75.12</v>
      </c>
      <c r="E671" s="16">
        <f t="shared" si="20"/>
        <v>45.072</v>
      </c>
      <c r="F671" s="14"/>
      <c r="G671" s="14"/>
      <c r="H671" s="16">
        <f t="shared" si="21"/>
        <v>45.072</v>
      </c>
      <c r="I671" s="14">
        <v>18</v>
      </c>
    </row>
    <row r="672" ht="24" customHeight="1" spans="1:9">
      <c r="A672" s="14" t="str">
        <f>"15114013712"</f>
        <v>15114013712</v>
      </c>
      <c r="B672" s="15" t="s">
        <v>26</v>
      </c>
      <c r="C672" s="14" t="s">
        <v>11</v>
      </c>
      <c r="D672" s="16">
        <v>74.28</v>
      </c>
      <c r="E672" s="16">
        <f t="shared" si="20"/>
        <v>44.568</v>
      </c>
      <c r="F672" s="14"/>
      <c r="G672" s="14"/>
      <c r="H672" s="16">
        <f t="shared" si="21"/>
        <v>44.568</v>
      </c>
      <c r="I672" s="14">
        <v>19</v>
      </c>
    </row>
    <row r="673" ht="24" customHeight="1" spans="1:9">
      <c r="A673" s="14" t="str">
        <f>"15114013913"</f>
        <v>15114013913</v>
      </c>
      <c r="B673" s="15" t="s">
        <v>26</v>
      </c>
      <c r="C673" s="14" t="s">
        <v>11</v>
      </c>
      <c r="D673" s="16">
        <v>74.12</v>
      </c>
      <c r="E673" s="16">
        <f t="shared" si="20"/>
        <v>44.472</v>
      </c>
      <c r="F673" s="14"/>
      <c r="G673" s="14"/>
      <c r="H673" s="16">
        <f t="shared" si="21"/>
        <v>44.472</v>
      </c>
      <c r="I673" s="14">
        <v>20</v>
      </c>
    </row>
    <row r="674" ht="24" customHeight="1" spans="1:9">
      <c r="A674" s="14" t="str">
        <f>"15114013915"</f>
        <v>15114013915</v>
      </c>
      <c r="B674" s="15" t="s">
        <v>26</v>
      </c>
      <c r="C674" s="14" t="s">
        <v>11</v>
      </c>
      <c r="D674" s="16">
        <v>73.44</v>
      </c>
      <c r="E674" s="16">
        <f t="shared" si="20"/>
        <v>44.064</v>
      </c>
      <c r="F674" s="14"/>
      <c r="G674" s="14"/>
      <c r="H674" s="16">
        <f t="shared" si="21"/>
        <v>44.064</v>
      </c>
      <c r="I674" s="14">
        <v>21</v>
      </c>
    </row>
    <row r="675" ht="24" customHeight="1" spans="1:9">
      <c r="A675" s="14" t="str">
        <f>"15114014008"</f>
        <v>15114014008</v>
      </c>
      <c r="B675" s="15" t="s">
        <v>26</v>
      </c>
      <c r="C675" s="14" t="s">
        <v>11</v>
      </c>
      <c r="D675" s="16">
        <v>73.36</v>
      </c>
      <c r="E675" s="16">
        <f t="shared" si="20"/>
        <v>44.016</v>
      </c>
      <c r="F675" s="14"/>
      <c r="G675" s="14"/>
      <c r="H675" s="16">
        <f t="shared" si="21"/>
        <v>44.016</v>
      </c>
      <c r="I675" s="14">
        <v>22</v>
      </c>
    </row>
    <row r="676" ht="24" customHeight="1" spans="1:9">
      <c r="A676" s="14" t="str">
        <f>"15114013813"</f>
        <v>15114013813</v>
      </c>
      <c r="B676" s="15" t="s">
        <v>26</v>
      </c>
      <c r="C676" s="14" t="s">
        <v>12</v>
      </c>
      <c r="D676" s="16">
        <v>69</v>
      </c>
      <c r="E676" s="16">
        <f t="shared" si="20"/>
        <v>41.4</v>
      </c>
      <c r="F676" s="14">
        <v>2.5</v>
      </c>
      <c r="G676" s="14"/>
      <c r="H676" s="16">
        <f t="shared" si="21"/>
        <v>43.9</v>
      </c>
      <c r="I676" s="14">
        <v>23</v>
      </c>
    </row>
    <row r="677" ht="24" customHeight="1" spans="1:9">
      <c r="A677" s="14" t="str">
        <f>"15114013721"</f>
        <v>15114013721</v>
      </c>
      <c r="B677" s="15" t="s">
        <v>26</v>
      </c>
      <c r="C677" s="14" t="s">
        <v>11</v>
      </c>
      <c r="D677" s="16">
        <v>70.92</v>
      </c>
      <c r="E677" s="16">
        <f t="shared" si="20"/>
        <v>42.552</v>
      </c>
      <c r="F677" s="14"/>
      <c r="G677" s="14"/>
      <c r="H677" s="16">
        <f t="shared" si="21"/>
        <v>42.552</v>
      </c>
      <c r="I677" s="14">
        <v>24</v>
      </c>
    </row>
    <row r="678" ht="24" customHeight="1" spans="1:9">
      <c r="A678" s="14" t="str">
        <f>"15114013926"</f>
        <v>15114013926</v>
      </c>
      <c r="B678" s="15" t="s">
        <v>26</v>
      </c>
      <c r="C678" s="14" t="s">
        <v>11</v>
      </c>
      <c r="D678" s="16">
        <v>70.92</v>
      </c>
      <c r="E678" s="16">
        <f t="shared" si="20"/>
        <v>42.552</v>
      </c>
      <c r="F678" s="14"/>
      <c r="G678" s="14"/>
      <c r="H678" s="16">
        <f t="shared" si="21"/>
        <v>42.552</v>
      </c>
      <c r="I678" s="14">
        <v>25</v>
      </c>
    </row>
    <row r="679" ht="24" customHeight="1" spans="1:9">
      <c r="A679" s="14" t="str">
        <f>"15114014002"</f>
        <v>15114014002</v>
      </c>
      <c r="B679" s="15" t="s">
        <v>26</v>
      </c>
      <c r="C679" s="14" t="s">
        <v>11</v>
      </c>
      <c r="D679" s="16">
        <v>70.6</v>
      </c>
      <c r="E679" s="16">
        <f t="shared" si="20"/>
        <v>42.36</v>
      </c>
      <c r="F679" s="14"/>
      <c r="G679" s="14"/>
      <c r="H679" s="16">
        <f t="shared" si="21"/>
        <v>42.36</v>
      </c>
      <c r="I679" s="14">
        <v>26</v>
      </c>
    </row>
    <row r="680" ht="24" customHeight="1" spans="1:9">
      <c r="A680" s="14" t="str">
        <f>"15114014012"</f>
        <v>15114014012</v>
      </c>
      <c r="B680" s="15" t="s">
        <v>26</v>
      </c>
      <c r="C680" s="14" t="s">
        <v>11</v>
      </c>
      <c r="D680" s="16">
        <v>70.16</v>
      </c>
      <c r="E680" s="16">
        <f t="shared" si="20"/>
        <v>42.096</v>
      </c>
      <c r="F680" s="14"/>
      <c r="G680" s="14"/>
      <c r="H680" s="16">
        <f t="shared" si="21"/>
        <v>42.096</v>
      </c>
      <c r="I680" s="14">
        <v>27</v>
      </c>
    </row>
    <row r="681" ht="24" customHeight="1" spans="1:9">
      <c r="A681" s="14" t="str">
        <f>"15114013812"</f>
        <v>15114013812</v>
      </c>
      <c r="B681" s="15" t="s">
        <v>26</v>
      </c>
      <c r="C681" s="14" t="s">
        <v>11</v>
      </c>
      <c r="D681" s="16">
        <v>70</v>
      </c>
      <c r="E681" s="16">
        <f t="shared" si="20"/>
        <v>42</v>
      </c>
      <c r="F681" s="14"/>
      <c r="G681" s="14"/>
      <c r="H681" s="16">
        <f t="shared" si="21"/>
        <v>42</v>
      </c>
      <c r="I681" s="14">
        <v>28</v>
      </c>
    </row>
    <row r="682" ht="24" customHeight="1" spans="1:9">
      <c r="A682" s="14" t="str">
        <f>"15114013922"</f>
        <v>15114013922</v>
      </c>
      <c r="B682" s="15" t="s">
        <v>26</v>
      </c>
      <c r="C682" s="14" t="s">
        <v>11</v>
      </c>
      <c r="D682" s="16">
        <v>69.4</v>
      </c>
      <c r="E682" s="16">
        <f t="shared" si="20"/>
        <v>41.64</v>
      </c>
      <c r="F682" s="14"/>
      <c r="G682" s="14"/>
      <c r="H682" s="16">
        <f t="shared" si="21"/>
        <v>41.64</v>
      </c>
      <c r="I682" s="14">
        <v>29</v>
      </c>
    </row>
    <row r="683" ht="24" customHeight="1" spans="1:9">
      <c r="A683" s="14" t="str">
        <f>"15114013704"</f>
        <v>15114013704</v>
      </c>
      <c r="B683" s="15" t="s">
        <v>26</v>
      </c>
      <c r="C683" s="14" t="s">
        <v>11</v>
      </c>
      <c r="D683" s="16">
        <v>69.16</v>
      </c>
      <c r="E683" s="16">
        <f t="shared" si="20"/>
        <v>41.496</v>
      </c>
      <c r="F683" s="14"/>
      <c r="G683" s="14"/>
      <c r="H683" s="16">
        <f t="shared" si="21"/>
        <v>41.496</v>
      </c>
      <c r="I683" s="14">
        <v>30</v>
      </c>
    </row>
    <row r="684" ht="24" customHeight="1" spans="1:9">
      <c r="A684" s="14" t="str">
        <f>"15114013722"</f>
        <v>15114013722</v>
      </c>
      <c r="B684" s="15" t="s">
        <v>26</v>
      </c>
      <c r="C684" s="14" t="s">
        <v>11</v>
      </c>
      <c r="D684" s="16">
        <v>68.56</v>
      </c>
      <c r="E684" s="16">
        <f t="shared" si="20"/>
        <v>41.136</v>
      </c>
      <c r="F684" s="14"/>
      <c r="G684" s="14"/>
      <c r="H684" s="16">
        <f t="shared" si="21"/>
        <v>41.136</v>
      </c>
      <c r="I684" s="14">
        <v>31</v>
      </c>
    </row>
    <row r="685" ht="24" customHeight="1" spans="1:9">
      <c r="A685" s="14" t="str">
        <f>"15114013906"</f>
        <v>15114013906</v>
      </c>
      <c r="B685" s="15" t="s">
        <v>26</v>
      </c>
      <c r="C685" s="14" t="s">
        <v>11</v>
      </c>
      <c r="D685" s="16">
        <v>68.48</v>
      </c>
      <c r="E685" s="16">
        <f t="shared" si="20"/>
        <v>41.088</v>
      </c>
      <c r="F685" s="14"/>
      <c r="G685" s="14"/>
      <c r="H685" s="16">
        <f t="shared" si="21"/>
        <v>41.088</v>
      </c>
      <c r="I685" s="14">
        <v>32</v>
      </c>
    </row>
    <row r="686" ht="24" customHeight="1" spans="1:9">
      <c r="A686" s="14" t="str">
        <f>"15114013715"</f>
        <v>15114013715</v>
      </c>
      <c r="B686" s="15" t="s">
        <v>26</v>
      </c>
      <c r="C686" s="14" t="s">
        <v>11</v>
      </c>
      <c r="D686" s="16">
        <v>68.4</v>
      </c>
      <c r="E686" s="16">
        <f t="shared" si="20"/>
        <v>41.04</v>
      </c>
      <c r="F686" s="14"/>
      <c r="G686" s="14"/>
      <c r="H686" s="16">
        <f t="shared" si="21"/>
        <v>41.04</v>
      </c>
      <c r="I686" s="14">
        <v>33</v>
      </c>
    </row>
    <row r="687" ht="24" customHeight="1" spans="1:9">
      <c r="A687" s="14" t="str">
        <f>"15114013806"</f>
        <v>15114013806</v>
      </c>
      <c r="B687" s="15" t="s">
        <v>26</v>
      </c>
      <c r="C687" s="14" t="s">
        <v>11</v>
      </c>
      <c r="D687" s="16">
        <v>68.4</v>
      </c>
      <c r="E687" s="16">
        <f t="shared" si="20"/>
        <v>41.04</v>
      </c>
      <c r="F687" s="14"/>
      <c r="G687" s="14"/>
      <c r="H687" s="16">
        <f t="shared" si="21"/>
        <v>41.04</v>
      </c>
      <c r="I687" s="14">
        <v>34</v>
      </c>
    </row>
    <row r="688" ht="24" customHeight="1" spans="1:9">
      <c r="A688" s="14" t="str">
        <f>"15114013910"</f>
        <v>15114013910</v>
      </c>
      <c r="B688" s="15" t="s">
        <v>26</v>
      </c>
      <c r="C688" s="14" t="s">
        <v>11</v>
      </c>
      <c r="D688" s="16">
        <v>68.4</v>
      </c>
      <c r="E688" s="16">
        <f t="shared" si="20"/>
        <v>41.04</v>
      </c>
      <c r="F688" s="14"/>
      <c r="G688" s="14"/>
      <c r="H688" s="16">
        <f t="shared" si="21"/>
        <v>41.04</v>
      </c>
      <c r="I688" s="14">
        <v>35</v>
      </c>
    </row>
    <row r="689" ht="24" customHeight="1" spans="1:9">
      <c r="A689" s="14" t="str">
        <f>"15114013819"</f>
        <v>15114013819</v>
      </c>
      <c r="B689" s="15" t="s">
        <v>26</v>
      </c>
      <c r="C689" s="14" t="s">
        <v>11</v>
      </c>
      <c r="D689" s="16">
        <v>68.32</v>
      </c>
      <c r="E689" s="16">
        <f t="shared" si="20"/>
        <v>40.992</v>
      </c>
      <c r="F689" s="14"/>
      <c r="G689" s="14"/>
      <c r="H689" s="16">
        <f t="shared" si="21"/>
        <v>40.992</v>
      </c>
      <c r="I689" s="14">
        <v>36</v>
      </c>
    </row>
    <row r="690" ht="24" customHeight="1" spans="1:9">
      <c r="A690" s="14" t="str">
        <f>"15114013829"</f>
        <v>15114013829</v>
      </c>
      <c r="B690" s="15" t="s">
        <v>26</v>
      </c>
      <c r="C690" s="14" t="s">
        <v>12</v>
      </c>
      <c r="D690" s="16">
        <v>64.04</v>
      </c>
      <c r="E690" s="16">
        <f t="shared" si="20"/>
        <v>38.424</v>
      </c>
      <c r="F690" s="14">
        <v>2.5</v>
      </c>
      <c r="G690" s="14"/>
      <c r="H690" s="16">
        <f t="shared" si="21"/>
        <v>40.924</v>
      </c>
      <c r="I690" s="14">
        <v>37</v>
      </c>
    </row>
    <row r="691" ht="24" customHeight="1" spans="1:9">
      <c r="A691" s="14" t="str">
        <f>"15114013920"</f>
        <v>15114013920</v>
      </c>
      <c r="B691" s="15" t="s">
        <v>26</v>
      </c>
      <c r="C691" s="14" t="s">
        <v>11</v>
      </c>
      <c r="D691" s="16">
        <v>68.08</v>
      </c>
      <c r="E691" s="16">
        <f t="shared" si="20"/>
        <v>40.848</v>
      </c>
      <c r="F691" s="14"/>
      <c r="G691" s="14"/>
      <c r="H691" s="16">
        <f t="shared" si="21"/>
        <v>40.848</v>
      </c>
      <c r="I691" s="14">
        <v>38</v>
      </c>
    </row>
    <row r="692" ht="24" customHeight="1" spans="1:9">
      <c r="A692" s="14" t="str">
        <f>"15114013917"</f>
        <v>15114013917</v>
      </c>
      <c r="B692" s="15" t="s">
        <v>26</v>
      </c>
      <c r="C692" s="14" t="s">
        <v>11</v>
      </c>
      <c r="D692" s="16">
        <v>67.64</v>
      </c>
      <c r="E692" s="16">
        <f t="shared" si="20"/>
        <v>40.584</v>
      </c>
      <c r="F692" s="14"/>
      <c r="G692" s="14"/>
      <c r="H692" s="16">
        <f t="shared" si="21"/>
        <v>40.584</v>
      </c>
      <c r="I692" s="14">
        <v>39</v>
      </c>
    </row>
    <row r="693" ht="24" customHeight="1" spans="1:9">
      <c r="A693" s="14" t="str">
        <f>"15114013912"</f>
        <v>15114013912</v>
      </c>
      <c r="B693" s="15" t="s">
        <v>26</v>
      </c>
      <c r="C693" s="14" t="s">
        <v>11</v>
      </c>
      <c r="D693" s="16">
        <v>67.56</v>
      </c>
      <c r="E693" s="16">
        <f t="shared" si="20"/>
        <v>40.536</v>
      </c>
      <c r="F693" s="14"/>
      <c r="G693" s="14"/>
      <c r="H693" s="16">
        <f t="shared" si="21"/>
        <v>40.536</v>
      </c>
      <c r="I693" s="14">
        <v>40</v>
      </c>
    </row>
    <row r="694" ht="24" customHeight="1" spans="1:9">
      <c r="A694" s="14" t="str">
        <f>"15114013903"</f>
        <v>15114013903</v>
      </c>
      <c r="B694" s="15" t="s">
        <v>26</v>
      </c>
      <c r="C694" s="14" t="s">
        <v>11</v>
      </c>
      <c r="D694" s="16">
        <v>67.48</v>
      </c>
      <c r="E694" s="16">
        <f t="shared" si="20"/>
        <v>40.488</v>
      </c>
      <c r="F694" s="14"/>
      <c r="G694" s="14"/>
      <c r="H694" s="16">
        <f t="shared" si="21"/>
        <v>40.488</v>
      </c>
      <c r="I694" s="14">
        <v>41</v>
      </c>
    </row>
    <row r="695" ht="24" customHeight="1" spans="1:9">
      <c r="A695" s="14" t="str">
        <f>"15114013909"</f>
        <v>15114013909</v>
      </c>
      <c r="B695" s="15" t="s">
        <v>26</v>
      </c>
      <c r="C695" s="14" t="s">
        <v>11</v>
      </c>
      <c r="D695" s="16">
        <v>67.32</v>
      </c>
      <c r="E695" s="16">
        <f t="shared" si="20"/>
        <v>40.392</v>
      </c>
      <c r="F695" s="14"/>
      <c r="G695" s="14"/>
      <c r="H695" s="16">
        <f t="shared" si="21"/>
        <v>40.392</v>
      </c>
      <c r="I695" s="14">
        <v>42</v>
      </c>
    </row>
    <row r="696" ht="24" customHeight="1" spans="1:9">
      <c r="A696" s="14" t="str">
        <f>"15114013911"</f>
        <v>15114013911</v>
      </c>
      <c r="B696" s="15" t="s">
        <v>26</v>
      </c>
      <c r="C696" s="14" t="s">
        <v>11</v>
      </c>
      <c r="D696" s="16">
        <v>66.88</v>
      </c>
      <c r="E696" s="16">
        <f t="shared" si="20"/>
        <v>40.128</v>
      </c>
      <c r="F696" s="14"/>
      <c r="G696" s="14"/>
      <c r="H696" s="16">
        <f t="shared" si="21"/>
        <v>40.128</v>
      </c>
      <c r="I696" s="14">
        <v>43</v>
      </c>
    </row>
    <row r="697" ht="24" customHeight="1" spans="1:9">
      <c r="A697" s="14" t="str">
        <f>"15114013929"</f>
        <v>15114013929</v>
      </c>
      <c r="B697" s="15" t="s">
        <v>26</v>
      </c>
      <c r="C697" s="14" t="s">
        <v>11</v>
      </c>
      <c r="D697" s="16">
        <v>66.72</v>
      </c>
      <c r="E697" s="16">
        <f t="shared" si="20"/>
        <v>40.032</v>
      </c>
      <c r="F697" s="14"/>
      <c r="G697" s="14"/>
      <c r="H697" s="16">
        <f t="shared" si="21"/>
        <v>40.032</v>
      </c>
      <c r="I697" s="14">
        <v>44</v>
      </c>
    </row>
    <row r="698" ht="24" customHeight="1" spans="1:9">
      <c r="A698" s="14" t="str">
        <f>"15114013826"</f>
        <v>15114013826</v>
      </c>
      <c r="B698" s="15" t="s">
        <v>26</v>
      </c>
      <c r="C698" s="14" t="s">
        <v>11</v>
      </c>
      <c r="D698" s="16">
        <v>66.64</v>
      </c>
      <c r="E698" s="16">
        <f t="shared" si="20"/>
        <v>39.984</v>
      </c>
      <c r="F698" s="14"/>
      <c r="G698" s="14"/>
      <c r="H698" s="16">
        <f t="shared" si="21"/>
        <v>39.984</v>
      </c>
      <c r="I698" s="14">
        <v>45</v>
      </c>
    </row>
    <row r="699" ht="24" customHeight="1" spans="1:9">
      <c r="A699" s="14" t="str">
        <f>"15114013811"</f>
        <v>15114013811</v>
      </c>
      <c r="B699" s="15" t="s">
        <v>26</v>
      </c>
      <c r="C699" s="14" t="s">
        <v>11</v>
      </c>
      <c r="D699" s="16">
        <v>66.48</v>
      </c>
      <c r="E699" s="16">
        <f t="shared" si="20"/>
        <v>39.888</v>
      </c>
      <c r="F699" s="14"/>
      <c r="G699" s="14"/>
      <c r="H699" s="16">
        <f t="shared" si="21"/>
        <v>39.888</v>
      </c>
      <c r="I699" s="14">
        <v>46</v>
      </c>
    </row>
    <row r="700" ht="24" customHeight="1" spans="1:9">
      <c r="A700" s="14" t="str">
        <f>"15114013710"</f>
        <v>15114013710</v>
      </c>
      <c r="B700" s="15" t="s">
        <v>26</v>
      </c>
      <c r="C700" s="14" t="s">
        <v>11</v>
      </c>
      <c r="D700" s="16">
        <v>66.12</v>
      </c>
      <c r="E700" s="16">
        <f t="shared" si="20"/>
        <v>39.672</v>
      </c>
      <c r="F700" s="14"/>
      <c r="G700" s="14"/>
      <c r="H700" s="16">
        <f t="shared" si="21"/>
        <v>39.672</v>
      </c>
      <c r="I700" s="14">
        <v>47</v>
      </c>
    </row>
    <row r="701" ht="24" customHeight="1" spans="1:9">
      <c r="A701" s="14" t="str">
        <f>"15114013706"</f>
        <v>15114013706</v>
      </c>
      <c r="B701" s="15" t="s">
        <v>26</v>
      </c>
      <c r="C701" s="14" t="s">
        <v>11</v>
      </c>
      <c r="D701" s="16">
        <v>65.88</v>
      </c>
      <c r="E701" s="16">
        <f t="shared" si="20"/>
        <v>39.528</v>
      </c>
      <c r="F701" s="14"/>
      <c r="G701" s="14"/>
      <c r="H701" s="16">
        <f t="shared" si="21"/>
        <v>39.528</v>
      </c>
      <c r="I701" s="14">
        <v>48</v>
      </c>
    </row>
    <row r="702" ht="24" customHeight="1" spans="1:9">
      <c r="A702" s="14" t="str">
        <f>"15114013817"</f>
        <v>15114013817</v>
      </c>
      <c r="B702" s="15" t="s">
        <v>26</v>
      </c>
      <c r="C702" s="14" t="s">
        <v>11</v>
      </c>
      <c r="D702" s="16">
        <v>65.88</v>
      </c>
      <c r="E702" s="16">
        <f t="shared" si="20"/>
        <v>39.528</v>
      </c>
      <c r="F702" s="14"/>
      <c r="G702" s="14"/>
      <c r="H702" s="16">
        <f t="shared" si="21"/>
        <v>39.528</v>
      </c>
      <c r="I702" s="14">
        <v>49</v>
      </c>
    </row>
    <row r="703" ht="24" customHeight="1" spans="1:9">
      <c r="A703" s="14" t="str">
        <f>"15114014011"</f>
        <v>15114014011</v>
      </c>
      <c r="B703" s="15" t="s">
        <v>26</v>
      </c>
      <c r="C703" s="14" t="s">
        <v>11</v>
      </c>
      <c r="D703" s="16">
        <v>65.88</v>
      </c>
      <c r="E703" s="16">
        <f t="shared" si="20"/>
        <v>39.528</v>
      </c>
      <c r="F703" s="14"/>
      <c r="G703" s="14"/>
      <c r="H703" s="16">
        <f t="shared" si="21"/>
        <v>39.528</v>
      </c>
      <c r="I703" s="14">
        <v>50</v>
      </c>
    </row>
    <row r="704" ht="24" customHeight="1" spans="1:9">
      <c r="A704" s="14" t="str">
        <f>"15114013628"</f>
        <v>15114013628</v>
      </c>
      <c r="B704" s="15" t="s">
        <v>26</v>
      </c>
      <c r="C704" s="14" t="s">
        <v>11</v>
      </c>
      <c r="D704" s="16">
        <v>65.72</v>
      </c>
      <c r="E704" s="16">
        <f t="shared" si="20"/>
        <v>39.432</v>
      </c>
      <c r="F704" s="14"/>
      <c r="G704" s="14"/>
      <c r="H704" s="16">
        <f t="shared" si="21"/>
        <v>39.432</v>
      </c>
      <c r="I704" s="14">
        <v>51</v>
      </c>
    </row>
    <row r="705" ht="24" customHeight="1" spans="1:9">
      <c r="A705" s="14" t="str">
        <f>"15114014001"</f>
        <v>15114014001</v>
      </c>
      <c r="B705" s="15" t="s">
        <v>26</v>
      </c>
      <c r="C705" s="14" t="s">
        <v>12</v>
      </c>
      <c r="D705" s="16">
        <v>60.92</v>
      </c>
      <c r="E705" s="16">
        <f t="shared" si="20"/>
        <v>36.552</v>
      </c>
      <c r="F705" s="14">
        <v>2.5</v>
      </c>
      <c r="G705" s="14"/>
      <c r="H705" s="16">
        <f t="shared" si="21"/>
        <v>39.052</v>
      </c>
      <c r="I705" s="14">
        <v>52</v>
      </c>
    </row>
    <row r="706" ht="24" customHeight="1" spans="1:9">
      <c r="A706" s="14" t="str">
        <f>"15114013825"</f>
        <v>15114013825</v>
      </c>
      <c r="B706" s="15" t="s">
        <v>26</v>
      </c>
      <c r="C706" s="14" t="s">
        <v>11</v>
      </c>
      <c r="D706" s="16">
        <v>65.04</v>
      </c>
      <c r="E706" s="16">
        <f t="shared" si="20"/>
        <v>39.024</v>
      </c>
      <c r="F706" s="14"/>
      <c r="G706" s="14"/>
      <c r="H706" s="16">
        <f t="shared" si="21"/>
        <v>39.024</v>
      </c>
      <c r="I706" s="14">
        <v>53</v>
      </c>
    </row>
    <row r="707" ht="24" customHeight="1" spans="1:9">
      <c r="A707" s="14" t="str">
        <f>"15114013714"</f>
        <v>15114013714</v>
      </c>
      <c r="B707" s="15" t="s">
        <v>26</v>
      </c>
      <c r="C707" s="14" t="s">
        <v>11</v>
      </c>
      <c r="D707" s="16">
        <v>64.96</v>
      </c>
      <c r="E707" s="16">
        <f t="shared" ref="E707:E770" si="22">D707*0.6</f>
        <v>38.976</v>
      </c>
      <c r="F707" s="14"/>
      <c r="G707" s="14"/>
      <c r="H707" s="16">
        <f t="shared" ref="H707:H770" si="23">SUM(E707:G707)</f>
        <v>38.976</v>
      </c>
      <c r="I707" s="14">
        <v>54</v>
      </c>
    </row>
    <row r="708" ht="24" customHeight="1" spans="1:9">
      <c r="A708" s="14" t="str">
        <f>"15114013802"</f>
        <v>15114013802</v>
      </c>
      <c r="B708" s="15" t="s">
        <v>26</v>
      </c>
      <c r="C708" s="14" t="s">
        <v>11</v>
      </c>
      <c r="D708" s="16">
        <v>64.96</v>
      </c>
      <c r="E708" s="16">
        <f t="shared" si="22"/>
        <v>38.976</v>
      </c>
      <c r="F708" s="14"/>
      <c r="G708" s="14"/>
      <c r="H708" s="16">
        <f t="shared" si="23"/>
        <v>38.976</v>
      </c>
      <c r="I708" s="14">
        <v>55</v>
      </c>
    </row>
    <row r="709" ht="24" customHeight="1" spans="1:9">
      <c r="A709" s="14" t="str">
        <f>"15114013818"</f>
        <v>15114013818</v>
      </c>
      <c r="B709" s="15" t="s">
        <v>26</v>
      </c>
      <c r="C709" s="14" t="s">
        <v>11</v>
      </c>
      <c r="D709" s="16">
        <v>64.96</v>
      </c>
      <c r="E709" s="16">
        <f t="shared" si="22"/>
        <v>38.976</v>
      </c>
      <c r="F709" s="14"/>
      <c r="G709" s="14"/>
      <c r="H709" s="16">
        <f t="shared" si="23"/>
        <v>38.976</v>
      </c>
      <c r="I709" s="14">
        <v>56</v>
      </c>
    </row>
    <row r="710" ht="24" customHeight="1" spans="1:9">
      <c r="A710" s="14" t="str">
        <f>"15114013713"</f>
        <v>15114013713</v>
      </c>
      <c r="B710" s="15" t="s">
        <v>26</v>
      </c>
      <c r="C710" s="14" t="s">
        <v>11</v>
      </c>
      <c r="D710" s="16">
        <v>64.2</v>
      </c>
      <c r="E710" s="16">
        <f t="shared" si="22"/>
        <v>38.52</v>
      </c>
      <c r="F710" s="14"/>
      <c r="G710" s="14"/>
      <c r="H710" s="16">
        <f t="shared" si="23"/>
        <v>38.52</v>
      </c>
      <c r="I710" s="14">
        <v>57</v>
      </c>
    </row>
    <row r="711" ht="24" customHeight="1" spans="1:9">
      <c r="A711" s="14" t="str">
        <f>"15114014006"</f>
        <v>15114014006</v>
      </c>
      <c r="B711" s="15" t="s">
        <v>26</v>
      </c>
      <c r="C711" s="14" t="s">
        <v>12</v>
      </c>
      <c r="D711" s="16">
        <v>60</v>
      </c>
      <c r="E711" s="16">
        <f t="shared" si="22"/>
        <v>36</v>
      </c>
      <c r="F711" s="14">
        <v>2.5</v>
      </c>
      <c r="G711" s="14"/>
      <c r="H711" s="16">
        <f t="shared" si="23"/>
        <v>38.5</v>
      </c>
      <c r="I711" s="14">
        <v>58</v>
      </c>
    </row>
    <row r="712" ht="24" customHeight="1" spans="1:9">
      <c r="A712" s="14" t="str">
        <f>"15114014009"</f>
        <v>15114014009</v>
      </c>
      <c r="B712" s="15" t="s">
        <v>26</v>
      </c>
      <c r="C712" s="14" t="s">
        <v>11</v>
      </c>
      <c r="D712" s="16">
        <v>64.12</v>
      </c>
      <c r="E712" s="16">
        <f t="shared" si="22"/>
        <v>38.472</v>
      </c>
      <c r="F712" s="14"/>
      <c r="G712" s="14"/>
      <c r="H712" s="16">
        <f t="shared" si="23"/>
        <v>38.472</v>
      </c>
      <c r="I712" s="14">
        <v>59</v>
      </c>
    </row>
    <row r="713" ht="24" customHeight="1" spans="1:9">
      <c r="A713" s="14" t="str">
        <f>"15114013816"</f>
        <v>15114013816</v>
      </c>
      <c r="B713" s="15" t="s">
        <v>26</v>
      </c>
      <c r="C713" s="14" t="s">
        <v>11</v>
      </c>
      <c r="D713" s="16">
        <v>63.36</v>
      </c>
      <c r="E713" s="16">
        <f t="shared" si="22"/>
        <v>38.016</v>
      </c>
      <c r="F713" s="14"/>
      <c r="G713" s="14"/>
      <c r="H713" s="16">
        <f t="shared" si="23"/>
        <v>38.016</v>
      </c>
      <c r="I713" s="14">
        <v>60</v>
      </c>
    </row>
    <row r="714" ht="24" customHeight="1" spans="1:9">
      <c r="A714" s="14" t="str">
        <f>"15114013918"</f>
        <v>15114013918</v>
      </c>
      <c r="B714" s="15" t="s">
        <v>26</v>
      </c>
      <c r="C714" s="14" t="s">
        <v>11</v>
      </c>
      <c r="D714" s="16">
        <v>63.36</v>
      </c>
      <c r="E714" s="16">
        <f t="shared" si="22"/>
        <v>38.016</v>
      </c>
      <c r="F714" s="14"/>
      <c r="G714" s="14"/>
      <c r="H714" s="16">
        <f t="shared" si="23"/>
        <v>38.016</v>
      </c>
      <c r="I714" s="14">
        <v>61</v>
      </c>
    </row>
    <row r="715" ht="24" customHeight="1" spans="1:9">
      <c r="A715" s="14" t="str">
        <f>"15114013705"</f>
        <v>15114013705</v>
      </c>
      <c r="B715" s="15" t="s">
        <v>26</v>
      </c>
      <c r="C715" s="14" t="s">
        <v>11</v>
      </c>
      <c r="D715" s="16">
        <v>63.2</v>
      </c>
      <c r="E715" s="16">
        <f t="shared" si="22"/>
        <v>37.92</v>
      </c>
      <c r="F715" s="14"/>
      <c r="G715" s="14"/>
      <c r="H715" s="16">
        <f t="shared" si="23"/>
        <v>37.92</v>
      </c>
      <c r="I715" s="14">
        <v>62</v>
      </c>
    </row>
    <row r="716" ht="24" customHeight="1" spans="1:9">
      <c r="A716" s="14" t="str">
        <f>"15114013707"</f>
        <v>15114013707</v>
      </c>
      <c r="B716" s="15" t="s">
        <v>26</v>
      </c>
      <c r="C716" s="14" t="s">
        <v>11</v>
      </c>
      <c r="D716" s="16">
        <v>63.2</v>
      </c>
      <c r="E716" s="16">
        <f t="shared" si="22"/>
        <v>37.92</v>
      </c>
      <c r="F716" s="14"/>
      <c r="G716" s="14"/>
      <c r="H716" s="16">
        <f t="shared" si="23"/>
        <v>37.92</v>
      </c>
      <c r="I716" s="14">
        <v>63</v>
      </c>
    </row>
    <row r="717" ht="24" customHeight="1" spans="1:9">
      <c r="A717" s="14" t="str">
        <f>"15114013709"</f>
        <v>15114013709</v>
      </c>
      <c r="B717" s="15" t="s">
        <v>26</v>
      </c>
      <c r="C717" s="14" t="s">
        <v>11</v>
      </c>
      <c r="D717" s="16">
        <v>63.2</v>
      </c>
      <c r="E717" s="16">
        <f t="shared" si="22"/>
        <v>37.92</v>
      </c>
      <c r="F717" s="14"/>
      <c r="G717" s="14"/>
      <c r="H717" s="16">
        <f t="shared" si="23"/>
        <v>37.92</v>
      </c>
      <c r="I717" s="14">
        <v>64</v>
      </c>
    </row>
    <row r="718" ht="24" customHeight="1" spans="1:9">
      <c r="A718" s="14" t="str">
        <f>"15114013809"</f>
        <v>15114013809</v>
      </c>
      <c r="B718" s="15" t="s">
        <v>26</v>
      </c>
      <c r="C718" s="14" t="s">
        <v>11</v>
      </c>
      <c r="D718" s="16">
        <v>62.68</v>
      </c>
      <c r="E718" s="16">
        <f t="shared" si="22"/>
        <v>37.608</v>
      </c>
      <c r="F718" s="14"/>
      <c r="G718" s="14"/>
      <c r="H718" s="16">
        <f t="shared" si="23"/>
        <v>37.608</v>
      </c>
      <c r="I718" s="14">
        <v>65</v>
      </c>
    </row>
    <row r="719" ht="24" customHeight="1" spans="1:9">
      <c r="A719" s="14" t="str">
        <f>"15114013724"</f>
        <v>15114013724</v>
      </c>
      <c r="B719" s="15" t="s">
        <v>26</v>
      </c>
      <c r="C719" s="14" t="s">
        <v>11</v>
      </c>
      <c r="D719" s="16">
        <v>62.6</v>
      </c>
      <c r="E719" s="16">
        <f t="shared" si="22"/>
        <v>37.56</v>
      </c>
      <c r="F719" s="14"/>
      <c r="G719" s="14"/>
      <c r="H719" s="16">
        <f t="shared" si="23"/>
        <v>37.56</v>
      </c>
      <c r="I719" s="14">
        <v>66</v>
      </c>
    </row>
    <row r="720" ht="24" customHeight="1" spans="1:9">
      <c r="A720" s="14" t="str">
        <f>"15114013824"</f>
        <v>15114013824</v>
      </c>
      <c r="B720" s="15" t="s">
        <v>26</v>
      </c>
      <c r="C720" s="14" t="s">
        <v>11</v>
      </c>
      <c r="D720" s="16">
        <v>62.52</v>
      </c>
      <c r="E720" s="16">
        <f t="shared" si="22"/>
        <v>37.512</v>
      </c>
      <c r="F720" s="14"/>
      <c r="G720" s="14"/>
      <c r="H720" s="16">
        <f t="shared" si="23"/>
        <v>37.512</v>
      </c>
      <c r="I720" s="14">
        <v>67</v>
      </c>
    </row>
    <row r="721" ht="24" customHeight="1" spans="1:9">
      <c r="A721" s="14" t="str">
        <f>"15114013919"</f>
        <v>15114013919</v>
      </c>
      <c r="B721" s="15" t="s">
        <v>26</v>
      </c>
      <c r="C721" s="14" t="s">
        <v>12</v>
      </c>
      <c r="D721" s="16">
        <v>58.24</v>
      </c>
      <c r="E721" s="16">
        <f t="shared" si="22"/>
        <v>34.944</v>
      </c>
      <c r="F721" s="14">
        <v>2.5</v>
      </c>
      <c r="G721" s="14"/>
      <c r="H721" s="16">
        <f t="shared" si="23"/>
        <v>37.444</v>
      </c>
      <c r="I721" s="14">
        <v>68</v>
      </c>
    </row>
    <row r="722" ht="24" customHeight="1" spans="1:9">
      <c r="A722" s="14" t="str">
        <f>"15114013916"</f>
        <v>15114013916</v>
      </c>
      <c r="B722" s="15" t="s">
        <v>26</v>
      </c>
      <c r="C722" s="14" t="s">
        <v>11</v>
      </c>
      <c r="D722" s="16">
        <v>61.68</v>
      </c>
      <c r="E722" s="16">
        <f t="shared" si="22"/>
        <v>37.008</v>
      </c>
      <c r="F722" s="14"/>
      <c r="G722" s="14"/>
      <c r="H722" s="16">
        <f t="shared" si="23"/>
        <v>37.008</v>
      </c>
      <c r="I722" s="14">
        <v>69</v>
      </c>
    </row>
    <row r="723" ht="24" customHeight="1" spans="1:9">
      <c r="A723" s="14" t="str">
        <f>"15114013923"</f>
        <v>15114013923</v>
      </c>
      <c r="B723" s="15" t="s">
        <v>26</v>
      </c>
      <c r="C723" s="14" t="s">
        <v>11</v>
      </c>
      <c r="D723" s="16">
        <v>61.68</v>
      </c>
      <c r="E723" s="16">
        <f t="shared" si="22"/>
        <v>37.008</v>
      </c>
      <c r="F723" s="14"/>
      <c r="G723" s="14"/>
      <c r="H723" s="16">
        <f t="shared" si="23"/>
        <v>37.008</v>
      </c>
      <c r="I723" s="14">
        <v>70</v>
      </c>
    </row>
    <row r="724" ht="24" customHeight="1" spans="1:9">
      <c r="A724" s="14" t="str">
        <f>"15114013928"</f>
        <v>15114013928</v>
      </c>
      <c r="B724" s="15" t="s">
        <v>26</v>
      </c>
      <c r="C724" s="14" t="s">
        <v>11</v>
      </c>
      <c r="D724" s="16">
        <v>60.92</v>
      </c>
      <c r="E724" s="16">
        <f t="shared" si="22"/>
        <v>36.552</v>
      </c>
      <c r="F724" s="14"/>
      <c r="G724" s="14"/>
      <c r="H724" s="16">
        <f t="shared" si="23"/>
        <v>36.552</v>
      </c>
      <c r="I724" s="14">
        <v>71</v>
      </c>
    </row>
    <row r="725" ht="24" customHeight="1" spans="1:9">
      <c r="A725" s="14" t="str">
        <f>"15114014005"</f>
        <v>15114014005</v>
      </c>
      <c r="B725" s="15" t="s">
        <v>26</v>
      </c>
      <c r="C725" s="14" t="s">
        <v>11</v>
      </c>
      <c r="D725" s="16">
        <v>60.92</v>
      </c>
      <c r="E725" s="16">
        <f t="shared" si="22"/>
        <v>36.552</v>
      </c>
      <c r="F725" s="14"/>
      <c r="G725" s="14"/>
      <c r="H725" s="16">
        <f t="shared" si="23"/>
        <v>36.552</v>
      </c>
      <c r="I725" s="14">
        <v>72</v>
      </c>
    </row>
    <row r="726" ht="24" customHeight="1" spans="1:9">
      <c r="A726" s="14" t="str">
        <f>"15114013801"</f>
        <v>15114013801</v>
      </c>
      <c r="B726" s="15" t="s">
        <v>26</v>
      </c>
      <c r="C726" s="14" t="s">
        <v>11</v>
      </c>
      <c r="D726" s="16">
        <v>60.76</v>
      </c>
      <c r="E726" s="16">
        <f t="shared" si="22"/>
        <v>36.456</v>
      </c>
      <c r="F726" s="14"/>
      <c r="G726" s="14"/>
      <c r="H726" s="16">
        <f t="shared" si="23"/>
        <v>36.456</v>
      </c>
      <c r="I726" s="14">
        <v>73</v>
      </c>
    </row>
    <row r="727" ht="24" customHeight="1" spans="1:9">
      <c r="A727" s="14" t="str">
        <f>"15114013702"</f>
        <v>15114013702</v>
      </c>
      <c r="B727" s="15" t="s">
        <v>26</v>
      </c>
      <c r="C727" s="14" t="s">
        <v>12</v>
      </c>
      <c r="D727" s="16">
        <v>56.56</v>
      </c>
      <c r="E727" s="16">
        <f t="shared" si="22"/>
        <v>33.936</v>
      </c>
      <c r="F727" s="14">
        <v>2.5</v>
      </c>
      <c r="G727" s="14"/>
      <c r="H727" s="16">
        <f t="shared" si="23"/>
        <v>36.436</v>
      </c>
      <c r="I727" s="14">
        <v>74</v>
      </c>
    </row>
    <row r="728" ht="24" customHeight="1" spans="1:9">
      <c r="A728" s="14" t="str">
        <f>"15114013630"</f>
        <v>15114013630</v>
      </c>
      <c r="B728" s="15" t="s">
        <v>26</v>
      </c>
      <c r="C728" s="14" t="s">
        <v>11</v>
      </c>
      <c r="D728" s="16">
        <v>60.08</v>
      </c>
      <c r="E728" s="16">
        <f t="shared" si="22"/>
        <v>36.048</v>
      </c>
      <c r="F728" s="14"/>
      <c r="G728" s="14"/>
      <c r="H728" s="16">
        <f t="shared" si="23"/>
        <v>36.048</v>
      </c>
      <c r="I728" s="14">
        <v>75</v>
      </c>
    </row>
    <row r="729" ht="24" customHeight="1" spans="1:9">
      <c r="A729" s="14" t="str">
        <f>"15114013901"</f>
        <v>15114013901</v>
      </c>
      <c r="B729" s="15" t="s">
        <v>26</v>
      </c>
      <c r="C729" s="14" t="s">
        <v>11</v>
      </c>
      <c r="D729" s="16">
        <v>59.92</v>
      </c>
      <c r="E729" s="16">
        <f t="shared" si="22"/>
        <v>35.952</v>
      </c>
      <c r="F729" s="14"/>
      <c r="G729" s="14"/>
      <c r="H729" s="16">
        <f t="shared" si="23"/>
        <v>35.952</v>
      </c>
      <c r="I729" s="14">
        <v>76</v>
      </c>
    </row>
    <row r="730" ht="24" customHeight="1" spans="1:9">
      <c r="A730" s="14" t="str">
        <f>"15114013808"</f>
        <v>15114013808</v>
      </c>
      <c r="B730" s="15" t="s">
        <v>26</v>
      </c>
      <c r="C730" s="14" t="s">
        <v>12</v>
      </c>
      <c r="D730" s="16">
        <v>55.72</v>
      </c>
      <c r="E730" s="16">
        <f t="shared" si="22"/>
        <v>33.432</v>
      </c>
      <c r="F730" s="14">
        <v>2.5</v>
      </c>
      <c r="G730" s="14"/>
      <c r="H730" s="16">
        <f t="shared" si="23"/>
        <v>35.932</v>
      </c>
      <c r="I730" s="14">
        <v>77</v>
      </c>
    </row>
    <row r="731" ht="24" customHeight="1" spans="1:9">
      <c r="A731" s="14" t="str">
        <f>"15114013807"</f>
        <v>15114013807</v>
      </c>
      <c r="B731" s="15" t="s">
        <v>26</v>
      </c>
      <c r="C731" s="14" t="s">
        <v>11</v>
      </c>
      <c r="D731" s="16">
        <v>59.84</v>
      </c>
      <c r="E731" s="16">
        <f t="shared" si="22"/>
        <v>35.904</v>
      </c>
      <c r="F731" s="14"/>
      <c r="G731" s="14"/>
      <c r="H731" s="16">
        <f t="shared" si="23"/>
        <v>35.904</v>
      </c>
      <c r="I731" s="14">
        <v>78</v>
      </c>
    </row>
    <row r="732" ht="24" customHeight="1" spans="1:9">
      <c r="A732" s="14" t="str">
        <f>"15114013921"</f>
        <v>15114013921</v>
      </c>
      <c r="B732" s="15" t="s">
        <v>26</v>
      </c>
      <c r="C732" s="14" t="s">
        <v>11</v>
      </c>
      <c r="D732" s="16">
        <v>59.76</v>
      </c>
      <c r="E732" s="16">
        <f t="shared" si="22"/>
        <v>35.856</v>
      </c>
      <c r="F732" s="14"/>
      <c r="G732" s="14"/>
      <c r="H732" s="16">
        <f t="shared" si="23"/>
        <v>35.856</v>
      </c>
      <c r="I732" s="14">
        <v>79</v>
      </c>
    </row>
    <row r="733" ht="24" customHeight="1" spans="1:9">
      <c r="A733" s="14" t="str">
        <f>"15114013729"</f>
        <v>15114013729</v>
      </c>
      <c r="B733" s="15" t="s">
        <v>26</v>
      </c>
      <c r="C733" s="14" t="s">
        <v>11</v>
      </c>
      <c r="D733" s="16">
        <v>58.48</v>
      </c>
      <c r="E733" s="16">
        <f t="shared" si="22"/>
        <v>35.088</v>
      </c>
      <c r="F733" s="14"/>
      <c r="G733" s="14"/>
      <c r="H733" s="16">
        <f t="shared" si="23"/>
        <v>35.088</v>
      </c>
      <c r="I733" s="14">
        <v>80</v>
      </c>
    </row>
    <row r="734" ht="24" customHeight="1" spans="1:9">
      <c r="A734" s="14" t="str">
        <f>"15114014007"</f>
        <v>15114014007</v>
      </c>
      <c r="B734" s="15" t="s">
        <v>26</v>
      </c>
      <c r="C734" s="14" t="s">
        <v>11</v>
      </c>
      <c r="D734" s="16">
        <v>58.24</v>
      </c>
      <c r="E734" s="16">
        <f t="shared" si="22"/>
        <v>34.944</v>
      </c>
      <c r="F734" s="14"/>
      <c r="G734" s="14"/>
      <c r="H734" s="16">
        <f t="shared" si="23"/>
        <v>34.944</v>
      </c>
      <c r="I734" s="14">
        <v>81</v>
      </c>
    </row>
    <row r="735" ht="24" customHeight="1" spans="1:9">
      <c r="A735" s="14" t="str">
        <f>"15114013716"</f>
        <v>15114013716</v>
      </c>
      <c r="B735" s="15" t="s">
        <v>26</v>
      </c>
      <c r="C735" s="14" t="s">
        <v>11</v>
      </c>
      <c r="D735" s="16">
        <v>57.72</v>
      </c>
      <c r="E735" s="16">
        <f t="shared" si="22"/>
        <v>34.632</v>
      </c>
      <c r="F735" s="14"/>
      <c r="G735" s="14"/>
      <c r="H735" s="16">
        <f t="shared" si="23"/>
        <v>34.632</v>
      </c>
      <c r="I735" s="14">
        <v>82</v>
      </c>
    </row>
    <row r="736" ht="24" customHeight="1" spans="1:9">
      <c r="A736" s="14" t="str">
        <f>"15114013914"</f>
        <v>15114013914</v>
      </c>
      <c r="B736" s="15" t="s">
        <v>26</v>
      </c>
      <c r="C736" s="14" t="s">
        <v>11</v>
      </c>
      <c r="D736" s="16">
        <v>56.8</v>
      </c>
      <c r="E736" s="16">
        <f t="shared" si="22"/>
        <v>34.08</v>
      </c>
      <c r="F736" s="14"/>
      <c r="G736" s="14"/>
      <c r="H736" s="16">
        <f t="shared" si="23"/>
        <v>34.08</v>
      </c>
      <c r="I736" s="14">
        <v>83</v>
      </c>
    </row>
    <row r="737" ht="24" customHeight="1" spans="1:9">
      <c r="A737" s="14" t="str">
        <f>"15114013908"</f>
        <v>15114013908</v>
      </c>
      <c r="B737" s="15" t="s">
        <v>26</v>
      </c>
      <c r="C737" s="14" t="s">
        <v>11</v>
      </c>
      <c r="D737" s="16">
        <v>56.56</v>
      </c>
      <c r="E737" s="16">
        <f t="shared" si="22"/>
        <v>33.936</v>
      </c>
      <c r="F737" s="14"/>
      <c r="G737" s="14"/>
      <c r="H737" s="16">
        <f t="shared" si="23"/>
        <v>33.936</v>
      </c>
      <c r="I737" s="14">
        <v>84</v>
      </c>
    </row>
    <row r="738" ht="24" customHeight="1" spans="1:9">
      <c r="A738" s="14" t="str">
        <f>"15114013805"</f>
        <v>15114013805</v>
      </c>
      <c r="B738" s="15" t="s">
        <v>26</v>
      </c>
      <c r="C738" s="14" t="s">
        <v>11</v>
      </c>
      <c r="D738" s="16">
        <v>56.48</v>
      </c>
      <c r="E738" s="16">
        <f t="shared" si="22"/>
        <v>33.888</v>
      </c>
      <c r="F738" s="14"/>
      <c r="G738" s="14"/>
      <c r="H738" s="16">
        <f t="shared" si="23"/>
        <v>33.888</v>
      </c>
      <c r="I738" s="14">
        <v>85</v>
      </c>
    </row>
    <row r="739" ht="24" customHeight="1" spans="1:9">
      <c r="A739" s="14" t="str">
        <f>"15114013804"</f>
        <v>15114013804</v>
      </c>
      <c r="B739" s="15" t="s">
        <v>26</v>
      </c>
      <c r="C739" s="14" t="s">
        <v>11</v>
      </c>
      <c r="D739" s="16">
        <v>55.72</v>
      </c>
      <c r="E739" s="16">
        <f t="shared" si="22"/>
        <v>33.432</v>
      </c>
      <c r="F739" s="14"/>
      <c r="G739" s="14"/>
      <c r="H739" s="16">
        <f t="shared" si="23"/>
        <v>33.432</v>
      </c>
      <c r="I739" s="14">
        <v>86</v>
      </c>
    </row>
    <row r="740" ht="24" customHeight="1" spans="1:9">
      <c r="A740" s="14" t="str">
        <f>"15114013720"</f>
        <v>15114013720</v>
      </c>
      <c r="B740" s="15" t="s">
        <v>26</v>
      </c>
      <c r="C740" s="14" t="s">
        <v>11</v>
      </c>
      <c r="D740" s="16">
        <v>54.2</v>
      </c>
      <c r="E740" s="16">
        <f t="shared" si="22"/>
        <v>32.52</v>
      </c>
      <c r="F740" s="14"/>
      <c r="G740" s="14"/>
      <c r="H740" s="16">
        <f t="shared" si="23"/>
        <v>32.52</v>
      </c>
      <c r="I740" s="14">
        <v>87</v>
      </c>
    </row>
    <row r="741" ht="24" customHeight="1" spans="1:9">
      <c r="A741" s="14" t="str">
        <f>"15114013726"</f>
        <v>15114013726</v>
      </c>
      <c r="B741" s="15" t="s">
        <v>26</v>
      </c>
      <c r="C741" s="14" t="s">
        <v>11</v>
      </c>
      <c r="D741" s="16">
        <v>54.2</v>
      </c>
      <c r="E741" s="16">
        <f t="shared" si="22"/>
        <v>32.52</v>
      </c>
      <c r="F741" s="14"/>
      <c r="G741" s="14"/>
      <c r="H741" s="16">
        <f t="shared" si="23"/>
        <v>32.52</v>
      </c>
      <c r="I741" s="14">
        <v>88</v>
      </c>
    </row>
    <row r="742" ht="24" customHeight="1" spans="1:9">
      <c r="A742" s="14" t="str">
        <f>"15114013627"</f>
        <v>15114013627</v>
      </c>
      <c r="B742" s="15" t="s">
        <v>26</v>
      </c>
      <c r="C742" s="14" t="s">
        <v>11</v>
      </c>
      <c r="D742" s="16">
        <v>53.2</v>
      </c>
      <c r="E742" s="16">
        <f t="shared" si="22"/>
        <v>31.92</v>
      </c>
      <c r="F742" s="14"/>
      <c r="G742" s="14"/>
      <c r="H742" s="16">
        <f t="shared" si="23"/>
        <v>31.92</v>
      </c>
      <c r="I742" s="14">
        <v>89</v>
      </c>
    </row>
    <row r="743" ht="24" customHeight="1" spans="1:9">
      <c r="A743" s="14" t="str">
        <f>"15114013727"</f>
        <v>15114013727</v>
      </c>
      <c r="B743" s="15" t="s">
        <v>26</v>
      </c>
      <c r="C743" s="14" t="s">
        <v>12</v>
      </c>
      <c r="D743" s="16">
        <v>48.4</v>
      </c>
      <c r="E743" s="16">
        <f t="shared" si="22"/>
        <v>29.04</v>
      </c>
      <c r="F743" s="14">
        <v>2.5</v>
      </c>
      <c r="G743" s="14"/>
      <c r="H743" s="16">
        <f t="shared" si="23"/>
        <v>31.54</v>
      </c>
      <c r="I743" s="14">
        <v>90</v>
      </c>
    </row>
    <row r="744" ht="24" customHeight="1" spans="1:9">
      <c r="A744" s="14" t="str">
        <f>"15114013820"</f>
        <v>15114013820</v>
      </c>
      <c r="B744" s="15" t="s">
        <v>26</v>
      </c>
      <c r="C744" s="14" t="s">
        <v>11</v>
      </c>
      <c r="D744" s="16">
        <v>52.52</v>
      </c>
      <c r="E744" s="16">
        <f t="shared" si="22"/>
        <v>31.512</v>
      </c>
      <c r="F744" s="14"/>
      <c r="G744" s="14"/>
      <c r="H744" s="16">
        <f t="shared" si="23"/>
        <v>31.512</v>
      </c>
      <c r="I744" s="14">
        <v>91</v>
      </c>
    </row>
    <row r="745" ht="24" customHeight="1" spans="1:9">
      <c r="A745" s="14" t="str">
        <f>"15114014003"</f>
        <v>15114014003</v>
      </c>
      <c r="B745" s="15" t="s">
        <v>26</v>
      </c>
      <c r="C745" s="14" t="s">
        <v>11</v>
      </c>
      <c r="D745" s="16">
        <v>51.76</v>
      </c>
      <c r="E745" s="16">
        <f t="shared" si="22"/>
        <v>31.056</v>
      </c>
      <c r="F745" s="14"/>
      <c r="G745" s="14"/>
      <c r="H745" s="16">
        <f t="shared" si="23"/>
        <v>31.056</v>
      </c>
      <c r="I745" s="14">
        <v>92</v>
      </c>
    </row>
    <row r="746" ht="24" customHeight="1" spans="1:9">
      <c r="A746" s="14" t="str">
        <f>"15114013730"</f>
        <v>15114013730</v>
      </c>
      <c r="B746" s="15" t="s">
        <v>26</v>
      </c>
      <c r="C746" s="14" t="s">
        <v>11</v>
      </c>
      <c r="D746" s="16">
        <v>50.68</v>
      </c>
      <c r="E746" s="16">
        <f t="shared" si="22"/>
        <v>30.408</v>
      </c>
      <c r="F746" s="14"/>
      <c r="G746" s="14"/>
      <c r="H746" s="16">
        <f t="shared" si="23"/>
        <v>30.408</v>
      </c>
      <c r="I746" s="14">
        <v>93</v>
      </c>
    </row>
    <row r="747" ht="24" customHeight="1" spans="1:9">
      <c r="A747" s="14" t="str">
        <f>"15114013902"</f>
        <v>15114013902</v>
      </c>
      <c r="B747" s="15" t="s">
        <v>26</v>
      </c>
      <c r="C747" s="14" t="s">
        <v>11</v>
      </c>
      <c r="D747" s="16">
        <v>44.88</v>
      </c>
      <c r="E747" s="16">
        <f t="shared" si="22"/>
        <v>26.928</v>
      </c>
      <c r="F747" s="14"/>
      <c r="G747" s="14"/>
      <c r="H747" s="16">
        <f t="shared" si="23"/>
        <v>26.928</v>
      </c>
      <c r="I747" s="14">
        <v>94</v>
      </c>
    </row>
    <row r="748" ht="24" customHeight="1" spans="1:9">
      <c r="A748" s="14" t="str">
        <f>"15114013701"</f>
        <v>15114013701</v>
      </c>
      <c r="B748" s="15" t="s">
        <v>26</v>
      </c>
      <c r="C748" s="14" t="s">
        <v>11</v>
      </c>
      <c r="D748" s="16">
        <v>-1</v>
      </c>
      <c r="E748" s="16">
        <f t="shared" si="22"/>
        <v>-0.6</v>
      </c>
      <c r="F748" s="14"/>
      <c r="G748" s="14"/>
      <c r="H748" s="16">
        <f t="shared" si="23"/>
        <v>-0.6</v>
      </c>
      <c r="I748" s="14">
        <v>95</v>
      </c>
    </row>
    <row r="749" ht="24" customHeight="1" spans="1:9">
      <c r="A749" s="14" t="str">
        <f>"15114013711"</f>
        <v>15114013711</v>
      </c>
      <c r="B749" s="15" t="s">
        <v>26</v>
      </c>
      <c r="C749" s="14" t="s">
        <v>11</v>
      </c>
      <c r="D749" s="16">
        <v>-1</v>
      </c>
      <c r="E749" s="16">
        <f t="shared" si="22"/>
        <v>-0.6</v>
      </c>
      <c r="F749" s="14"/>
      <c r="G749" s="14"/>
      <c r="H749" s="16">
        <f t="shared" si="23"/>
        <v>-0.6</v>
      </c>
      <c r="I749" s="14">
        <v>96</v>
      </c>
    </row>
    <row r="750" ht="24" customHeight="1" spans="1:9">
      <c r="A750" s="14" t="str">
        <f>"15114013717"</f>
        <v>15114013717</v>
      </c>
      <c r="B750" s="15" t="s">
        <v>26</v>
      </c>
      <c r="C750" s="14" t="s">
        <v>11</v>
      </c>
      <c r="D750" s="16">
        <v>-1</v>
      </c>
      <c r="E750" s="16">
        <f t="shared" si="22"/>
        <v>-0.6</v>
      </c>
      <c r="F750" s="14"/>
      <c r="G750" s="14"/>
      <c r="H750" s="16">
        <f t="shared" si="23"/>
        <v>-0.6</v>
      </c>
      <c r="I750" s="14">
        <v>97</v>
      </c>
    </row>
    <row r="751" ht="24" customHeight="1" spans="1:9">
      <c r="A751" s="14" t="str">
        <f>"15114013718"</f>
        <v>15114013718</v>
      </c>
      <c r="B751" s="15" t="s">
        <v>26</v>
      </c>
      <c r="C751" s="14" t="s">
        <v>11</v>
      </c>
      <c r="D751" s="16">
        <v>-1</v>
      </c>
      <c r="E751" s="16">
        <f t="shared" si="22"/>
        <v>-0.6</v>
      </c>
      <c r="F751" s="14"/>
      <c r="G751" s="14"/>
      <c r="H751" s="16">
        <f t="shared" si="23"/>
        <v>-0.6</v>
      </c>
      <c r="I751" s="14">
        <v>98</v>
      </c>
    </row>
    <row r="752" ht="24" customHeight="1" spans="1:9">
      <c r="A752" s="14" t="str">
        <f>"15114013803"</f>
        <v>15114013803</v>
      </c>
      <c r="B752" s="15" t="s">
        <v>26</v>
      </c>
      <c r="C752" s="14" t="s">
        <v>11</v>
      </c>
      <c r="D752" s="16">
        <v>-1</v>
      </c>
      <c r="E752" s="16">
        <f t="shared" si="22"/>
        <v>-0.6</v>
      </c>
      <c r="F752" s="14"/>
      <c r="G752" s="14"/>
      <c r="H752" s="16">
        <f t="shared" si="23"/>
        <v>-0.6</v>
      </c>
      <c r="I752" s="14">
        <v>99</v>
      </c>
    </row>
    <row r="753" ht="24" customHeight="1" spans="1:9">
      <c r="A753" s="14" t="str">
        <f>"15114013823"</f>
        <v>15114013823</v>
      </c>
      <c r="B753" s="15" t="s">
        <v>26</v>
      </c>
      <c r="C753" s="14" t="s">
        <v>11</v>
      </c>
      <c r="D753" s="16">
        <v>-1</v>
      </c>
      <c r="E753" s="16">
        <f t="shared" si="22"/>
        <v>-0.6</v>
      </c>
      <c r="F753" s="14"/>
      <c r="G753" s="14"/>
      <c r="H753" s="16">
        <f t="shared" si="23"/>
        <v>-0.6</v>
      </c>
      <c r="I753" s="14">
        <v>100</v>
      </c>
    </row>
    <row r="754" ht="24" customHeight="1" spans="1:9">
      <c r="A754" s="14" t="str">
        <f>"15114013830"</f>
        <v>15114013830</v>
      </c>
      <c r="B754" s="15" t="s">
        <v>26</v>
      </c>
      <c r="C754" s="14" t="s">
        <v>11</v>
      </c>
      <c r="D754" s="16">
        <v>-1</v>
      </c>
      <c r="E754" s="16">
        <f t="shared" si="22"/>
        <v>-0.6</v>
      </c>
      <c r="F754" s="14"/>
      <c r="G754" s="14"/>
      <c r="H754" s="16">
        <f t="shared" si="23"/>
        <v>-0.6</v>
      </c>
      <c r="I754" s="14">
        <v>101</v>
      </c>
    </row>
    <row r="755" ht="24" customHeight="1" spans="1:9">
      <c r="A755" s="14" t="str">
        <f>"15114013905"</f>
        <v>15114013905</v>
      </c>
      <c r="B755" s="15" t="s">
        <v>26</v>
      </c>
      <c r="C755" s="14" t="s">
        <v>11</v>
      </c>
      <c r="D755" s="16">
        <v>-1</v>
      </c>
      <c r="E755" s="16">
        <f t="shared" si="22"/>
        <v>-0.6</v>
      </c>
      <c r="F755" s="14"/>
      <c r="G755" s="14"/>
      <c r="H755" s="16">
        <f t="shared" si="23"/>
        <v>-0.6</v>
      </c>
      <c r="I755" s="14">
        <v>102</v>
      </c>
    </row>
    <row r="756" ht="24" customHeight="1" spans="1:9">
      <c r="A756" s="14" t="str">
        <f>"15114013907"</f>
        <v>15114013907</v>
      </c>
      <c r="B756" s="15" t="s">
        <v>26</v>
      </c>
      <c r="C756" s="14" t="s">
        <v>11</v>
      </c>
      <c r="D756" s="16">
        <v>-1</v>
      </c>
      <c r="E756" s="16">
        <f t="shared" si="22"/>
        <v>-0.6</v>
      </c>
      <c r="F756" s="14"/>
      <c r="G756" s="14"/>
      <c r="H756" s="16">
        <f t="shared" si="23"/>
        <v>-0.6</v>
      </c>
      <c r="I756" s="14">
        <v>103</v>
      </c>
    </row>
    <row r="757" ht="24" customHeight="1" spans="1:9">
      <c r="A757" s="14" t="str">
        <f>"15114013927"</f>
        <v>15114013927</v>
      </c>
      <c r="B757" s="15" t="s">
        <v>26</v>
      </c>
      <c r="C757" s="14" t="s">
        <v>11</v>
      </c>
      <c r="D757" s="16">
        <v>-1</v>
      </c>
      <c r="E757" s="16">
        <f t="shared" si="22"/>
        <v>-0.6</v>
      </c>
      <c r="F757" s="14"/>
      <c r="G757" s="14"/>
      <c r="H757" s="16">
        <f t="shared" si="23"/>
        <v>-0.6</v>
      </c>
      <c r="I757" s="14">
        <v>104</v>
      </c>
    </row>
    <row r="758" ht="24" customHeight="1" spans="1:9">
      <c r="A758" s="14" t="str">
        <f>"15114013930"</f>
        <v>15114013930</v>
      </c>
      <c r="B758" s="15" t="s">
        <v>26</v>
      </c>
      <c r="C758" s="14" t="s">
        <v>11</v>
      </c>
      <c r="D758" s="16">
        <v>-1</v>
      </c>
      <c r="E758" s="16">
        <f t="shared" si="22"/>
        <v>-0.6</v>
      </c>
      <c r="F758" s="14"/>
      <c r="G758" s="14"/>
      <c r="H758" s="16">
        <f t="shared" si="23"/>
        <v>-0.6</v>
      </c>
      <c r="I758" s="14">
        <v>105</v>
      </c>
    </row>
    <row r="759" ht="24" customHeight="1" spans="1:9">
      <c r="A759" s="14" t="str">
        <f>"15114014004"</f>
        <v>15114014004</v>
      </c>
      <c r="B759" s="15" t="s">
        <v>26</v>
      </c>
      <c r="C759" s="14" t="s">
        <v>11</v>
      </c>
      <c r="D759" s="16">
        <v>-1</v>
      </c>
      <c r="E759" s="16">
        <f t="shared" si="22"/>
        <v>-0.6</v>
      </c>
      <c r="F759" s="14"/>
      <c r="G759" s="14"/>
      <c r="H759" s="16">
        <f t="shared" si="23"/>
        <v>-0.6</v>
      </c>
      <c r="I759" s="14">
        <v>106</v>
      </c>
    </row>
    <row r="760" ht="24" customHeight="1" spans="1:9">
      <c r="A760" s="11" t="str">
        <f>"15115013020"</f>
        <v>15115013020</v>
      </c>
      <c r="B760" s="12" t="s">
        <v>27</v>
      </c>
      <c r="C760" s="11" t="s">
        <v>11</v>
      </c>
      <c r="D760" s="13">
        <v>89.24</v>
      </c>
      <c r="E760" s="13">
        <f t="shared" si="22"/>
        <v>53.544</v>
      </c>
      <c r="F760" s="11"/>
      <c r="G760" s="11"/>
      <c r="H760" s="13">
        <f t="shared" si="23"/>
        <v>53.544</v>
      </c>
      <c r="I760" s="11">
        <v>1</v>
      </c>
    </row>
    <row r="761" ht="24" customHeight="1" spans="1:9">
      <c r="A761" s="11" t="str">
        <f>"15115013123"</f>
        <v>15115013123</v>
      </c>
      <c r="B761" s="12" t="s">
        <v>27</v>
      </c>
      <c r="C761" s="11" t="s">
        <v>11</v>
      </c>
      <c r="D761" s="13">
        <v>88.32</v>
      </c>
      <c r="E761" s="13">
        <f t="shared" si="22"/>
        <v>52.992</v>
      </c>
      <c r="F761" s="11"/>
      <c r="G761" s="11"/>
      <c r="H761" s="13">
        <f t="shared" si="23"/>
        <v>52.992</v>
      </c>
      <c r="I761" s="11">
        <v>2</v>
      </c>
    </row>
    <row r="762" ht="24" customHeight="1" spans="1:9">
      <c r="A762" s="11" t="str">
        <f>"15115013125"</f>
        <v>15115013125</v>
      </c>
      <c r="B762" s="12" t="s">
        <v>27</v>
      </c>
      <c r="C762" s="11" t="s">
        <v>11</v>
      </c>
      <c r="D762" s="13">
        <v>88.32</v>
      </c>
      <c r="E762" s="13">
        <f t="shared" si="22"/>
        <v>52.992</v>
      </c>
      <c r="F762" s="11"/>
      <c r="G762" s="11"/>
      <c r="H762" s="13">
        <f t="shared" si="23"/>
        <v>52.992</v>
      </c>
      <c r="I762" s="11">
        <v>3</v>
      </c>
    </row>
    <row r="763" ht="24" customHeight="1" spans="1:9">
      <c r="A763" s="14" t="str">
        <f>"15115013126"</f>
        <v>15115013126</v>
      </c>
      <c r="B763" s="15" t="s">
        <v>27</v>
      </c>
      <c r="C763" s="14" t="s">
        <v>11</v>
      </c>
      <c r="D763" s="16">
        <v>87.64</v>
      </c>
      <c r="E763" s="16">
        <f t="shared" si="22"/>
        <v>52.584</v>
      </c>
      <c r="F763" s="14"/>
      <c r="G763" s="14"/>
      <c r="H763" s="16">
        <f t="shared" si="23"/>
        <v>52.584</v>
      </c>
      <c r="I763" s="14">
        <v>4</v>
      </c>
    </row>
    <row r="764" ht="24" customHeight="1" spans="1:9">
      <c r="A764" s="14" t="str">
        <f>"15115013210"</f>
        <v>15115013210</v>
      </c>
      <c r="B764" s="15" t="s">
        <v>27</v>
      </c>
      <c r="C764" s="14" t="s">
        <v>11</v>
      </c>
      <c r="D764" s="16">
        <v>87.64</v>
      </c>
      <c r="E764" s="16">
        <f t="shared" si="22"/>
        <v>52.584</v>
      </c>
      <c r="F764" s="14"/>
      <c r="G764" s="14"/>
      <c r="H764" s="16">
        <f t="shared" si="23"/>
        <v>52.584</v>
      </c>
      <c r="I764" s="14">
        <v>5</v>
      </c>
    </row>
    <row r="765" ht="24" customHeight="1" spans="1:9">
      <c r="A765" s="14" t="str">
        <f>"15115013211"</f>
        <v>15115013211</v>
      </c>
      <c r="B765" s="15" t="s">
        <v>27</v>
      </c>
      <c r="C765" s="14" t="s">
        <v>12</v>
      </c>
      <c r="D765" s="16">
        <v>82.6</v>
      </c>
      <c r="E765" s="16">
        <f t="shared" si="22"/>
        <v>49.56</v>
      </c>
      <c r="F765" s="14">
        <v>2.5</v>
      </c>
      <c r="G765" s="14"/>
      <c r="H765" s="16">
        <f t="shared" si="23"/>
        <v>52.06</v>
      </c>
      <c r="I765" s="14">
        <v>6</v>
      </c>
    </row>
    <row r="766" ht="24" customHeight="1" spans="1:9">
      <c r="A766" s="14" t="str">
        <f>"15115013019"</f>
        <v>15115013019</v>
      </c>
      <c r="B766" s="15" t="s">
        <v>27</v>
      </c>
      <c r="C766" s="14" t="s">
        <v>11</v>
      </c>
      <c r="D766" s="16">
        <v>86.64</v>
      </c>
      <c r="E766" s="16">
        <f t="shared" si="22"/>
        <v>51.984</v>
      </c>
      <c r="F766" s="14"/>
      <c r="G766" s="14"/>
      <c r="H766" s="16">
        <f t="shared" si="23"/>
        <v>51.984</v>
      </c>
      <c r="I766" s="14">
        <v>7</v>
      </c>
    </row>
    <row r="767" ht="24" customHeight="1" spans="1:9">
      <c r="A767" s="14" t="str">
        <f>"15115013204"</f>
        <v>15115013204</v>
      </c>
      <c r="B767" s="15" t="s">
        <v>27</v>
      </c>
      <c r="C767" s="14" t="s">
        <v>11</v>
      </c>
      <c r="D767" s="16">
        <v>86.64</v>
      </c>
      <c r="E767" s="16">
        <f t="shared" si="22"/>
        <v>51.984</v>
      </c>
      <c r="F767" s="14"/>
      <c r="G767" s="14"/>
      <c r="H767" s="16">
        <f t="shared" si="23"/>
        <v>51.984</v>
      </c>
      <c r="I767" s="14">
        <v>8</v>
      </c>
    </row>
    <row r="768" ht="24" customHeight="1" spans="1:9">
      <c r="A768" s="14" t="str">
        <f>"15115013002"</f>
        <v>15115013002</v>
      </c>
      <c r="B768" s="15" t="s">
        <v>27</v>
      </c>
      <c r="C768" s="14" t="s">
        <v>11</v>
      </c>
      <c r="D768" s="16">
        <v>85.88</v>
      </c>
      <c r="E768" s="16">
        <f t="shared" si="22"/>
        <v>51.528</v>
      </c>
      <c r="F768" s="14"/>
      <c r="G768" s="14"/>
      <c r="H768" s="16">
        <f t="shared" si="23"/>
        <v>51.528</v>
      </c>
      <c r="I768" s="14">
        <v>9</v>
      </c>
    </row>
    <row r="769" ht="24" customHeight="1" spans="1:9">
      <c r="A769" s="14" t="str">
        <f>"15115013107"</f>
        <v>15115013107</v>
      </c>
      <c r="B769" s="15" t="s">
        <v>27</v>
      </c>
      <c r="C769" s="14" t="s">
        <v>11</v>
      </c>
      <c r="D769" s="16">
        <v>85.88</v>
      </c>
      <c r="E769" s="16">
        <f t="shared" si="22"/>
        <v>51.528</v>
      </c>
      <c r="F769" s="14"/>
      <c r="G769" s="14"/>
      <c r="H769" s="16">
        <f t="shared" si="23"/>
        <v>51.528</v>
      </c>
      <c r="I769" s="14">
        <v>10</v>
      </c>
    </row>
    <row r="770" ht="24" customHeight="1" spans="1:9">
      <c r="A770" s="14" t="str">
        <f>"15115013109"</f>
        <v>15115013109</v>
      </c>
      <c r="B770" s="15" t="s">
        <v>27</v>
      </c>
      <c r="C770" s="14" t="s">
        <v>11</v>
      </c>
      <c r="D770" s="16">
        <v>85.88</v>
      </c>
      <c r="E770" s="16">
        <f t="shared" si="22"/>
        <v>51.528</v>
      </c>
      <c r="F770" s="14"/>
      <c r="G770" s="14"/>
      <c r="H770" s="16">
        <f t="shared" si="23"/>
        <v>51.528</v>
      </c>
      <c r="I770" s="14">
        <v>11</v>
      </c>
    </row>
    <row r="771" ht="24" customHeight="1" spans="1:9">
      <c r="A771" s="14" t="str">
        <f>"15115013212"</f>
        <v>15115013212</v>
      </c>
      <c r="B771" s="15" t="s">
        <v>27</v>
      </c>
      <c r="C771" s="14" t="s">
        <v>11</v>
      </c>
      <c r="D771" s="16">
        <v>85.88</v>
      </c>
      <c r="E771" s="16">
        <f t="shared" ref="E771:E834" si="24">D771*0.6</f>
        <v>51.528</v>
      </c>
      <c r="F771" s="14"/>
      <c r="G771" s="14"/>
      <c r="H771" s="16">
        <f t="shared" ref="H771:H834" si="25">SUM(E771:G771)</f>
        <v>51.528</v>
      </c>
      <c r="I771" s="14">
        <v>12</v>
      </c>
    </row>
    <row r="772" ht="24" customHeight="1" spans="1:9">
      <c r="A772" s="14" t="str">
        <f>"15115013106"</f>
        <v>15115013106</v>
      </c>
      <c r="B772" s="15" t="s">
        <v>27</v>
      </c>
      <c r="C772" s="14" t="s">
        <v>11</v>
      </c>
      <c r="D772" s="16">
        <v>85.8</v>
      </c>
      <c r="E772" s="16">
        <f t="shared" si="24"/>
        <v>51.48</v>
      </c>
      <c r="F772" s="14"/>
      <c r="G772" s="14"/>
      <c r="H772" s="16">
        <f t="shared" si="25"/>
        <v>51.48</v>
      </c>
      <c r="I772" s="14">
        <v>13</v>
      </c>
    </row>
    <row r="773" ht="24" customHeight="1" spans="1:9">
      <c r="A773" s="14" t="str">
        <f>"15115013015"</f>
        <v>15115013015</v>
      </c>
      <c r="B773" s="15" t="s">
        <v>27</v>
      </c>
      <c r="C773" s="14" t="s">
        <v>11</v>
      </c>
      <c r="D773" s="16">
        <v>85.12</v>
      </c>
      <c r="E773" s="16">
        <f t="shared" si="24"/>
        <v>51.072</v>
      </c>
      <c r="F773" s="14"/>
      <c r="G773" s="14"/>
      <c r="H773" s="16">
        <f t="shared" si="25"/>
        <v>51.072</v>
      </c>
      <c r="I773" s="14">
        <v>14</v>
      </c>
    </row>
    <row r="774" ht="24" customHeight="1" spans="1:9">
      <c r="A774" s="14" t="str">
        <f>"15115013129"</f>
        <v>15115013129</v>
      </c>
      <c r="B774" s="15" t="s">
        <v>27</v>
      </c>
      <c r="C774" s="14" t="s">
        <v>11</v>
      </c>
      <c r="D774" s="16">
        <v>85.04</v>
      </c>
      <c r="E774" s="16">
        <f t="shared" si="24"/>
        <v>51.024</v>
      </c>
      <c r="F774" s="14"/>
      <c r="G774" s="14"/>
      <c r="H774" s="16">
        <f t="shared" si="25"/>
        <v>51.024</v>
      </c>
      <c r="I774" s="14">
        <v>15</v>
      </c>
    </row>
    <row r="775" ht="24" customHeight="1" spans="1:9">
      <c r="A775" s="14" t="str">
        <f>"15115013115"</f>
        <v>15115013115</v>
      </c>
      <c r="B775" s="15" t="s">
        <v>27</v>
      </c>
      <c r="C775" s="14" t="s">
        <v>11</v>
      </c>
      <c r="D775" s="16">
        <v>84.96</v>
      </c>
      <c r="E775" s="16">
        <f t="shared" si="24"/>
        <v>50.976</v>
      </c>
      <c r="F775" s="14"/>
      <c r="G775" s="14"/>
      <c r="H775" s="16">
        <f t="shared" si="25"/>
        <v>50.976</v>
      </c>
      <c r="I775" s="14">
        <v>16</v>
      </c>
    </row>
    <row r="776" ht="24" customHeight="1" spans="1:9">
      <c r="A776" s="14" t="str">
        <f>"15115013205"</f>
        <v>15115013205</v>
      </c>
      <c r="B776" s="15" t="s">
        <v>27</v>
      </c>
      <c r="C776" s="14" t="s">
        <v>12</v>
      </c>
      <c r="D776" s="16">
        <v>80.16</v>
      </c>
      <c r="E776" s="16">
        <f t="shared" si="24"/>
        <v>48.096</v>
      </c>
      <c r="F776" s="14">
        <v>2.5</v>
      </c>
      <c r="G776" s="14"/>
      <c r="H776" s="16">
        <f t="shared" si="25"/>
        <v>50.596</v>
      </c>
      <c r="I776" s="14">
        <v>17</v>
      </c>
    </row>
    <row r="777" ht="24" customHeight="1" spans="1:9">
      <c r="A777" s="14" t="str">
        <f>"15115013014"</f>
        <v>15115013014</v>
      </c>
      <c r="B777" s="15" t="s">
        <v>27</v>
      </c>
      <c r="C777" s="14" t="s">
        <v>11</v>
      </c>
      <c r="D777" s="16">
        <v>84.28</v>
      </c>
      <c r="E777" s="16">
        <f t="shared" si="24"/>
        <v>50.568</v>
      </c>
      <c r="F777" s="14"/>
      <c r="G777" s="14"/>
      <c r="H777" s="16">
        <f t="shared" si="25"/>
        <v>50.568</v>
      </c>
      <c r="I777" s="14">
        <v>18</v>
      </c>
    </row>
    <row r="778" ht="24" customHeight="1" spans="1:9">
      <c r="A778" s="14" t="str">
        <f>"15115013209"</f>
        <v>15115013209</v>
      </c>
      <c r="B778" s="15" t="s">
        <v>27</v>
      </c>
      <c r="C778" s="14" t="s">
        <v>11</v>
      </c>
      <c r="D778" s="16">
        <v>84.28</v>
      </c>
      <c r="E778" s="16">
        <f t="shared" si="24"/>
        <v>50.568</v>
      </c>
      <c r="F778" s="14"/>
      <c r="G778" s="14"/>
      <c r="H778" s="16">
        <f t="shared" si="25"/>
        <v>50.568</v>
      </c>
      <c r="I778" s="14">
        <v>19</v>
      </c>
    </row>
    <row r="779" ht="24" customHeight="1" spans="1:9">
      <c r="A779" s="14" t="str">
        <f>"15115013007"</f>
        <v>15115013007</v>
      </c>
      <c r="B779" s="15" t="s">
        <v>27</v>
      </c>
      <c r="C779" s="14" t="s">
        <v>11</v>
      </c>
      <c r="D779" s="16">
        <v>84.2</v>
      </c>
      <c r="E779" s="16">
        <f t="shared" si="24"/>
        <v>50.52</v>
      </c>
      <c r="F779" s="14"/>
      <c r="G779" s="14"/>
      <c r="H779" s="16">
        <f t="shared" si="25"/>
        <v>50.52</v>
      </c>
      <c r="I779" s="14">
        <v>20</v>
      </c>
    </row>
    <row r="780" ht="24" customHeight="1" spans="1:9">
      <c r="A780" s="14" t="str">
        <f>"15115013101"</f>
        <v>15115013101</v>
      </c>
      <c r="B780" s="15" t="s">
        <v>27</v>
      </c>
      <c r="C780" s="14" t="s">
        <v>11</v>
      </c>
      <c r="D780" s="16">
        <v>84.2</v>
      </c>
      <c r="E780" s="16">
        <f t="shared" si="24"/>
        <v>50.52</v>
      </c>
      <c r="F780" s="14"/>
      <c r="G780" s="14"/>
      <c r="H780" s="16">
        <f t="shared" si="25"/>
        <v>50.52</v>
      </c>
      <c r="I780" s="14">
        <v>21</v>
      </c>
    </row>
    <row r="781" ht="24" customHeight="1" spans="1:9">
      <c r="A781" s="14" t="str">
        <f>"15115013122"</f>
        <v>15115013122</v>
      </c>
      <c r="B781" s="15" t="s">
        <v>27</v>
      </c>
      <c r="C781" s="14" t="s">
        <v>11</v>
      </c>
      <c r="D781" s="16">
        <v>84.2</v>
      </c>
      <c r="E781" s="16">
        <f t="shared" si="24"/>
        <v>50.52</v>
      </c>
      <c r="F781" s="14"/>
      <c r="G781" s="14"/>
      <c r="H781" s="16">
        <f t="shared" si="25"/>
        <v>50.52</v>
      </c>
      <c r="I781" s="14">
        <v>22</v>
      </c>
    </row>
    <row r="782" ht="24" customHeight="1" spans="1:9">
      <c r="A782" s="14" t="str">
        <f>"15115013009"</f>
        <v>15115013009</v>
      </c>
      <c r="B782" s="15" t="s">
        <v>27</v>
      </c>
      <c r="C782" s="14" t="s">
        <v>11</v>
      </c>
      <c r="D782" s="16">
        <v>83.44</v>
      </c>
      <c r="E782" s="16">
        <f t="shared" si="24"/>
        <v>50.064</v>
      </c>
      <c r="F782" s="14"/>
      <c r="G782" s="14"/>
      <c r="H782" s="16">
        <f t="shared" si="25"/>
        <v>50.064</v>
      </c>
      <c r="I782" s="14">
        <v>23</v>
      </c>
    </row>
    <row r="783" ht="24" customHeight="1" spans="1:9">
      <c r="A783" s="14" t="str">
        <f>"15115013010"</f>
        <v>15115013010</v>
      </c>
      <c r="B783" s="15" t="s">
        <v>27</v>
      </c>
      <c r="C783" s="14" t="s">
        <v>11</v>
      </c>
      <c r="D783" s="16">
        <v>83.44</v>
      </c>
      <c r="E783" s="16">
        <f t="shared" si="24"/>
        <v>50.064</v>
      </c>
      <c r="F783" s="14"/>
      <c r="G783" s="14"/>
      <c r="H783" s="16">
        <f t="shared" si="25"/>
        <v>50.064</v>
      </c>
      <c r="I783" s="14">
        <v>24</v>
      </c>
    </row>
    <row r="784" ht="24" customHeight="1" spans="1:9">
      <c r="A784" s="14" t="str">
        <f>"15115013105"</f>
        <v>15115013105</v>
      </c>
      <c r="B784" s="15" t="s">
        <v>27</v>
      </c>
      <c r="C784" s="14" t="s">
        <v>12</v>
      </c>
      <c r="D784" s="16">
        <v>79.24</v>
      </c>
      <c r="E784" s="16">
        <f t="shared" si="24"/>
        <v>47.544</v>
      </c>
      <c r="F784" s="14">
        <v>2.5</v>
      </c>
      <c r="G784" s="14"/>
      <c r="H784" s="16">
        <f t="shared" si="25"/>
        <v>50.044</v>
      </c>
      <c r="I784" s="14">
        <v>25</v>
      </c>
    </row>
    <row r="785" ht="24" customHeight="1" spans="1:9">
      <c r="A785" s="14" t="str">
        <f>"15115013023"</f>
        <v>15115013023</v>
      </c>
      <c r="B785" s="15" t="s">
        <v>27</v>
      </c>
      <c r="C785" s="14" t="s">
        <v>11</v>
      </c>
      <c r="D785" s="16">
        <v>83.36</v>
      </c>
      <c r="E785" s="16">
        <f t="shared" si="24"/>
        <v>50.016</v>
      </c>
      <c r="F785" s="14"/>
      <c r="G785" s="14"/>
      <c r="H785" s="16">
        <f t="shared" si="25"/>
        <v>50.016</v>
      </c>
      <c r="I785" s="14">
        <v>26</v>
      </c>
    </row>
    <row r="786" ht="24" customHeight="1" spans="1:9">
      <c r="A786" s="14" t="str">
        <f>"15115013103"</f>
        <v>15115013103</v>
      </c>
      <c r="B786" s="15" t="s">
        <v>27</v>
      </c>
      <c r="C786" s="14" t="s">
        <v>11</v>
      </c>
      <c r="D786" s="16">
        <v>83.28</v>
      </c>
      <c r="E786" s="16">
        <f t="shared" si="24"/>
        <v>49.968</v>
      </c>
      <c r="F786" s="14"/>
      <c r="G786" s="14"/>
      <c r="H786" s="16">
        <f t="shared" si="25"/>
        <v>49.968</v>
      </c>
      <c r="I786" s="14">
        <v>27</v>
      </c>
    </row>
    <row r="787" ht="24" customHeight="1" spans="1:9">
      <c r="A787" s="14" t="str">
        <f>"15115013111"</f>
        <v>15115013111</v>
      </c>
      <c r="B787" s="15" t="s">
        <v>27</v>
      </c>
      <c r="C787" s="14" t="s">
        <v>11</v>
      </c>
      <c r="D787" s="16">
        <v>82.68</v>
      </c>
      <c r="E787" s="16">
        <f t="shared" si="24"/>
        <v>49.608</v>
      </c>
      <c r="F787" s="14"/>
      <c r="G787" s="14"/>
      <c r="H787" s="16">
        <f t="shared" si="25"/>
        <v>49.608</v>
      </c>
      <c r="I787" s="14">
        <v>28</v>
      </c>
    </row>
    <row r="788" ht="24" customHeight="1" spans="1:9">
      <c r="A788" s="14" t="str">
        <f>"15115013127"</f>
        <v>15115013127</v>
      </c>
      <c r="B788" s="15" t="s">
        <v>27</v>
      </c>
      <c r="C788" s="14" t="s">
        <v>11</v>
      </c>
      <c r="D788" s="16">
        <v>82.6</v>
      </c>
      <c r="E788" s="16">
        <f t="shared" si="24"/>
        <v>49.56</v>
      </c>
      <c r="F788" s="14"/>
      <c r="G788" s="14"/>
      <c r="H788" s="16">
        <f t="shared" si="25"/>
        <v>49.56</v>
      </c>
      <c r="I788" s="14">
        <v>29</v>
      </c>
    </row>
    <row r="789" ht="24" customHeight="1" spans="1:9">
      <c r="A789" s="14" t="str">
        <f>"15115013202"</f>
        <v>15115013202</v>
      </c>
      <c r="B789" s="15" t="s">
        <v>27</v>
      </c>
      <c r="C789" s="14" t="s">
        <v>11</v>
      </c>
      <c r="D789" s="16">
        <v>82.6</v>
      </c>
      <c r="E789" s="16">
        <f t="shared" si="24"/>
        <v>49.56</v>
      </c>
      <c r="F789" s="14"/>
      <c r="G789" s="14"/>
      <c r="H789" s="16">
        <f t="shared" si="25"/>
        <v>49.56</v>
      </c>
      <c r="I789" s="14">
        <v>30</v>
      </c>
    </row>
    <row r="790" ht="24" customHeight="1" spans="1:9">
      <c r="A790" s="14" t="str">
        <f>"15115013114"</f>
        <v>15115013114</v>
      </c>
      <c r="B790" s="15" t="s">
        <v>27</v>
      </c>
      <c r="C790" s="14" t="s">
        <v>11</v>
      </c>
      <c r="D790" s="16">
        <v>82.52</v>
      </c>
      <c r="E790" s="16">
        <f t="shared" si="24"/>
        <v>49.512</v>
      </c>
      <c r="F790" s="14"/>
      <c r="G790" s="14"/>
      <c r="H790" s="16">
        <f t="shared" si="25"/>
        <v>49.512</v>
      </c>
      <c r="I790" s="14">
        <v>31</v>
      </c>
    </row>
    <row r="791" ht="24" customHeight="1" spans="1:9">
      <c r="A791" s="14" t="str">
        <f>"15115013121"</f>
        <v>15115013121</v>
      </c>
      <c r="B791" s="15" t="s">
        <v>27</v>
      </c>
      <c r="C791" s="14" t="s">
        <v>11</v>
      </c>
      <c r="D791" s="16">
        <v>82.52</v>
      </c>
      <c r="E791" s="16">
        <f t="shared" si="24"/>
        <v>49.512</v>
      </c>
      <c r="F791" s="14"/>
      <c r="G791" s="14"/>
      <c r="H791" s="16">
        <f t="shared" si="25"/>
        <v>49.512</v>
      </c>
      <c r="I791" s="14">
        <v>32</v>
      </c>
    </row>
    <row r="792" ht="24" customHeight="1" spans="1:9">
      <c r="A792" s="14" t="str">
        <f>"15115013004"</f>
        <v>15115013004</v>
      </c>
      <c r="B792" s="15" t="s">
        <v>27</v>
      </c>
      <c r="C792" s="14" t="s">
        <v>11</v>
      </c>
      <c r="D792" s="16">
        <v>81.84</v>
      </c>
      <c r="E792" s="16">
        <f t="shared" si="24"/>
        <v>49.104</v>
      </c>
      <c r="F792" s="14"/>
      <c r="G792" s="14"/>
      <c r="H792" s="16">
        <f t="shared" si="25"/>
        <v>49.104</v>
      </c>
      <c r="I792" s="14">
        <v>33</v>
      </c>
    </row>
    <row r="793" ht="24" customHeight="1" spans="1:9">
      <c r="A793" s="14" t="str">
        <f>"15115013030"</f>
        <v>15115013030</v>
      </c>
      <c r="B793" s="15" t="s">
        <v>27</v>
      </c>
      <c r="C793" s="14" t="s">
        <v>11</v>
      </c>
      <c r="D793" s="16">
        <v>81.76</v>
      </c>
      <c r="E793" s="16">
        <f t="shared" si="24"/>
        <v>49.056</v>
      </c>
      <c r="F793" s="14"/>
      <c r="G793" s="14"/>
      <c r="H793" s="16">
        <f t="shared" si="25"/>
        <v>49.056</v>
      </c>
      <c r="I793" s="14">
        <v>34</v>
      </c>
    </row>
    <row r="794" ht="24" customHeight="1" spans="1:9">
      <c r="A794" s="14" t="str">
        <f>"15115013011"</f>
        <v>15115013011</v>
      </c>
      <c r="B794" s="15" t="s">
        <v>27</v>
      </c>
      <c r="C794" s="14" t="s">
        <v>11</v>
      </c>
      <c r="D794" s="16">
        <v>81.68</v>
      </c>
      <c r="E794" s="16">
        <f t="shared" si="24"/>
        <v>49.008</v>
      </c>
      <c r="F794" s="14"/>
      <c r="G794" s="14"/>
      <c r="H794" s="16">
        <f t="shared" si="25"/>
        <v>49.008</v>
      </c>
      <c r="I794" s="14">
        <v>35</v>
      </c>
    </row>
    <row r="795" ht="24" customHeight="1" spans="1:9">
      <c r="A795" s="14" t="str">
        <f>"15115013208"</f>
        <v>15115013208</v>
      </c>
      <c r="B795" s="15" t="s">
        <v>27</v>
      </c>
      <c r="C795" s="14" t="s">
        <v>11</v>
      </c>
      <c r="D795" s="16">
        <v>81.6</v>
      </c>
      <c r="E795" s="16">
        <f t="shared" si="24"/>
        <v>48.96</v>
      </c>
      <c r="F795" s="14"/>
      <c r="G795" s="14"/>
      <c r="H795" s="16">
        <f t="shared" si="25"/>
        <v>48.96</v>
      </c>
      <c r="I795" s="14">
        <v>36</v>
      </c>
    </row>
    <row r="796" ht="24" customHeight="1" spans="1:9">
      <c r="A796" s="14" t="str">
        <f>"15115013117"</f>
        <v>15115013117</v>
      </c>
      <c r="B796" s="15" t="s">
        <v>27</v>
      </c>
      <c r="C796" s="14" t="s">
        <v>11</v>
      </c>
      <c r="D796" s="16">
        <v>80.84</v>
      </c>
      <c r="E796" s="16">
        <f t="shared" si="24"/>
        <v>48.504</v>
      </c>
      <c r="F796" s="14"/>
      <c r="G796" s="14"/>
      <c r="H796" s="16">
        <f t="shared" si="25"/>
        <v>48.504</v>
      </c>
      <c r="I796" s="14">
        <v>37</v>
      </c>
    </row>
    <row r="797" ht="24" customHeight="1" spans="1:9">
      <c r="A797" s="14" t="str">
        <f>"15115013206"</f>
        <v>15115013206</v>
      </c>
      <c r="B797" s="15" t="s">
        <v>27</v>
      </c>
      <c r="C797" s="14" t="s">
        <v>12</v>
      </c>
      <c r="D797" s="16">
        <v>76.64</v>
      </c>
      <c r="E797" s="16">
        <f t="shared" si="24"/>
        <v>45.984</v>
      </c>
      <c r="F797" s="14">
        <v>2.5</v>
      </c>
      <c r="G797" s="14"/>
      <c r="H797" s="16">
        <f t="shared" si="25"/>
        <v>48.484</v>
      </c>
      <c r="I797" s="14">
        <v>38</v>
      </c>
    </row>
    <row r="798" ht="24" customHeight="1" spans="1:9">
      <c r="A798" s="14" t="str">
        <f>"15115013018"</f>
        <v>15115013018</v>
      </c>
      <c r="B798" s="15" t="s">
        <v>27</v>
      </c>
      <c r="C798" s="14" t="s">
        <v>11</v>
      </c>
      <c r="D798" s="16">
        <v>78.32</v>
      </c>
      <c r="E798" s="16">
        <f t="shared" si="24"/>
        <v>46.992</v>
      </c>
      <c r="F798" s="14"/>
      <c r="G798" s="14"/>
      <c r="H798" s="16">
        <f t="shared" si="25"/>
        <v>46.992</v>
      </c>
      <c r="I798" s="14">
        <v>39</v>
      </c>
    </row>
    <row r="799" ht="24" customHeight="1" spans="1:9">
      <c r="A799" s="14" t="str">
        <f>"15115013119"</f>
        <v>15115013119</v>
      </c>
      <c r="B799" s="15" t="s">
        <v>27</v>
      </c>
      <c r="C799" s="14" t="s">
        <v>11</v>
      </c>
      <c r="D799" s="16">
        <v>76.64</v>
      </c>
      <c r="E799" s="16">
        <f t="shared" si="24"/>
        <v>45.984</v>
      </c>
      <c r="F799" s="14"/>
      <c r="G799" s="14"/>
      <c r="H799" s="16">
        <f t="shared" si="25"/>
        <v>45.984</v>
      </c>
      <c r="I799" s="14">
        <v>40</v>
      </c>
    </row>
    <row r="800" ht="24" customHeight="1" spans="1:9">
      <c r="A800" s="14" t="str">
        <f>"15115013016"</f>
        <v>15115013016</v>
      </c>
      <c r="B800" s="15" t="s">
        <v>27</v>
      </c>
      <c r="C800" s="14" t="s">
        <v>12</v>
      </c>
      <c r="D800" s="16">
        <v>72.28</v>
      </c>
      <c r="E800" s="16">
        <f t="shared" si="24"/>
        <v>43.368</v>
      </c>
      <c r="F800" s="14">
        <v>2.5</v>
      </c>
      <c r="G800" s="14"/>
      <c r="H800" s="16">
        <f t="shared" si="25"/>
        <v>45.868</v>
      </c>
      <c r="I800" s="14">
        <v>41</v>
      </c>
    </row>
    <row r="801" ht="24" customHeight="1" spans="1:9">
      <c r="A801" s="14" t="str">
        <f>"15115013005"</f>
        <v>15115013005</v>
      </c>
      <c r="B801" s="15" t="s">
        <v>27</v>
      </c>
      <c r="C801" s="14" t="s">
        <v>11</v>
      </c>
      <c r="D801" s="16">
        <v>75.96</v>
      </c>
      <c r="E801" s="16">
        <f t="shared" si="24"/>
        <v>45.576</v>
      </c>
      <c r="F801" s="14"/>
      <c r="G801" s="14"/>
      <c r="H801" s="16">
        <f t="shared" si="25"/>
        <v>45.576</v>
      </c>
      <c r="I801" s="14">
        <v>42</v>
      </c>
    </row>
    <row r="802" ht="24" customHeight="1" spans="1:9">
      <c r="A802" s="14" t="str">
        <f>"15115013021"</f>
        <v>15115013021</v>
      </c>
      <c r="B802" s="15" t="s">
        <v>27</v>
      </c>
      <c r="C802" s="14" t="s">
        <v>11</v>
      </c>
      <c r="D802" s="16">
        <v>75.88</v>
      </c>
      <c r="E802" s="16">
        <f t="shared" si="24"/>
        <v>45.528</v>
      </c>
      <c r="F802" s="14"/>
      <c r="G802" s="14"/>
      <c r="H802" s="16">
        <f t="shared" si="25"/>
        <v>45.528</v>
      </c>
      <c r="I802" s="14">
        <v>43</v>
      </c>
    </row>
    <row r="803" ht="24" customHeight="1" spans="1:9">
      <c r="A803" s="14" t="str">
        <f>"15115013028"</f>
        <v>15115013028</v>
      </c>
      <c r="B803" s="15" t="s">
        <v>27</v>
      </c>
      <c r="C803" s="14" t="s">
        <v>28</v>
      </c>
      <c r="D803" s="16">
        <v>75.88</v>
      </c>
      <c r="E803" s="16">
        <f t="shared" si="24"/>
        <v>45.528</v>
      </c>
      <c r="F803" s="14"/>
      <c r="G803" s="14"/>
      <c r="H803" s="16">
        <f t="shared" si="25"/>
        <v>45.528</v>
      </c>
      <c r="I803" s="14">
        <v>44</v>
      </c>
    </row>
    <row r="804" ht="24" customHeight="1" spans="1:9">
      <c r="A804" s="14" t="str">
        <f>"15115013102"</f>
        <v>15115013102</v>
      </c>
      <c r="B804" s="15" t="s">
        <v>27</v>
      </c>
      <c r="C804" s="14" t="s">
        <v>11</v>
      </c>
      <c r="D804" s="16">
        <v>75.72</v>
      </c>
      <c r="E804" s="16">
        <f t="shared" si="24"/>
        <v>45.432</v>
      </c>
      <c r="F804" s="14"/>
      <c r="G804" s="14"/>
      <c r="H804" s="16">
        <f t="shared" si="25"/>
        <v>45.432</v>
      </c>
      <c r="I804" s="14">
        <v>45</v>
      </c>
    </row>
    <row r="805" ht="24" customHeight="1" spans="1:9">
      <c r="A805" s="14" t="str">
        <f>"15115013113"</f>
        <v>15115013113</v>
      </c>
      <c r="B805" s="15" t="s">
        <v>27</v>
      </c>
      <c r="C805" s="14" t="s">
        <v>11</v>
      </c>
      <c r="D805" s="16">
        <v>74.96</v>
      </c>
      <c r="E805" s="16">
        <f t="shared" si="24"/>
        <v>44.976</v>
      </c>
      <c r="F805" s="14"/>
      <c r="G805" s="14"/>
      <c r="H805" s="16">
        <f t="shared" si="25"/>
        <v>44.976</v>
      </c>
      <c r="I805" s="14">
        <v>46</v>
      </c>
    </row>
    <row r="806" ht="24" customHeight="1" spans="1:9">
      <c r="A806" s="14" t="str">
        <f>"15115013116"</f>
        <v>15115013116</v>
      </c>
      <c r="B806" s="15" t="s">
        <v>27</v>
      </c>
      <c r="C806" s="14" t="s">
        <v>11</v>
      </c>
      <c r="D806" s="16">
        <v>72.52</v>
      </c>
      <c r="E806" s="16">
        <f t="shared" si="24"/>
        <v>43.512</v>
      </c>
      <c r="F806" s="14"/>
      <c r="G806" s="14"/>
      <c r="H806" s="16">
        <f t="shared" si="25"/>
        <v>43.512</v>
      </c>
      <c r="I806" s="14">
        <v>47</v>
      </c>
    </row>
    <row r="807" ht="24" customHeight="1" spans="1:9">
      <c r="A807" s="14" t="str">
        <f>"15115013108"</f>
        <v>15115013108</v>
      </c>
      <c r="B807" s="15" t="s">
        <v>27</v>
      </c>
      <c r="C807" s="14" t="s">
        <v>11</v>
      </c>
      <c r="D807" s="16">
        <v>71.6</v>
      </c>
      <c r="E807" s="16">
        <f t="shared" si="24"/>
        <v>42.96</v>
      </c>
      <c r="F807" s="14"/>
      <c r="G807" s="14"/>
      <c r="H807" s="16">
        <f t="shared" si="25"/>
        <v>42.96</v>
      </c>
      <c r="I807" s="14">
        <v>48</v>
      </c>
    </row>
    <row r="808" ht="24" customHeight="1" spans="1:9">
      <c r="A808" s="14" t="str">
        <f>"15115013001"</f>
        <v>15115013001</v>
      </c>
      <c r="B808" s="15" t="s">
        <v>27</v>
      </c>
      <c r="C808" s="14" t="s">
        <v>11</v>
      </c>
      <c r="D808" s="16">
        <v>69.92</v>
      </c>
      <c r="E808" s="16">
        <f t="shared" si="24"/>
        <v>41.952</v>
      </c>
      <c r="F808" s="14"/>
      <c r="G808" s="14"/>
      <c r="H808" s="16">
        <f t="shared" si="25"/>
        <v>41.952</v>
      </c>
      <c r="I808" s="14">
        <v>49</v>
      </c>
    </row>
    <row r="809" ht="24" customHeight="1" spans="1:9">
      <c r="A809" s="14" t="str">
        <f>"15115013118"</f>
        <v>15115013118</v>
      </c>
      <c r="B809" s="15" t="s">
        <v>27</v>
      </c>
      <c r="C809" s="14" t="s">
        <v>11</v>
      </c>
      <c r="D809" s="16">
        <v>68.4</v>
      </c>
      <c r="E809" s="16">
        <f t="shared" si="24"/>
        <v>41.04</v>
      </c>
      <c r="F809" s="14"/>
      <c r="G809" s="14"/>
      <c r="H809" s="16">
        <f t="shared" si="25"/>
        <v>41.04</v>
      </c>
      <c r="I809" s="14">
        <v>50</v>
      </c>
    </row>
    <row r="810" ht="24" customHeight="1" spans="1:9">
      <c r="A810" s="14" t="str">
        <f>"15115013128"</f>
        <v>15115013128</v>
      </c>
      <c r="B810" s="15" t="s">
        <v>27</v>
      </c>
      <c r="C810" s="14" t="s">
        <v>11</v>
      </c>
      <c r="D810" s="16">
        <v>68.32</v>
      </c>
      <c r="E810" s="16">
        <f t="shared" si="24"/>
        <v>40.992</v>
      </c>
      <c r="F810" s="14"/>
      <c r="G810" s="14"/>
      <c r="H810" s="16">
        <f t="shared" si="25"/>
        <v>40.992</v>
      </c>
      <c r="I810" s="14">
        <v>51</v>
      </c>
    </row>
    <row r="811" ht="24" customHeight="1" spans="1:9">
      <c r="A811" s="14" t="str">
        <f>"15115013027"</f>
        <v>15115013027</v>
      </c>
      <c r="B811" s="15" t="s">
        <v>27</v>
      </c>
      <c r="C811" s="14" t="s">
        <v>12</v>
      </c>
      <c r="D811" s="16">
        <v>64.04</v>
      </c>
      <c r="E811" s="16">
        <f t="shared" si="24"/>
        <v>38.424</v>
      </c>
      <c r="F811" s="14">
        <v>2.5</v>
      </c>
      <c r="G811" s="14"/>
      <c r="H811" s="16">
        <f t="shared" si="25"/>
        <v>40.924</v>
      </c>
      <c r="I811" s="14">
        <v>52</v>
      </c>
    </row>
    <row r="812" ht="24" customHeight="1" spans="1:9">
      <c r="A812" s="14" t="str">
        <f>"15115013110"</f>
        <v>15115013110</v>
      </c>
      <c r="B812" s="15" t="s">
        <v>27</v>
      </c>
      <c r="C812" s="14" t="s">
        <v>11</v>
      </c>
      <c r="D812" s="16">
        <v>67.48</v>
      </c>
      <c r="E812" s="16">
        <f t="shared" si="24"/>
        <v>40.488</v>
      </c>
      <c r="F812" s="14"/>
      <c r="G812" s="14"/>
      <c r="H812" s="16">
        <f t="shared" si="25"/>
        <v>40.488</v>
      </c>
      <c r="I812" s="14">
        <v>53</v>
      </c>
    </row>
    <row r="813" ht="24" customHeight="1" spans="1:9">
      <c r="A813" s="14" t="str">
        <f>"15115013017"</f>
        <v>15115013017</v>
      </c>
      <c r="B813" s="15" t="s">
        <v>27</v>
      </c>
      <c r="C813" s="14" t="s">
        <v>11</v>
      </c>
      <c r="D813" s="16">
        <v>66.8</v>
      </c>
      <c r="E813" s="16">
        <f t="shared" si="24"/>
        <v>40.08</v>
      </c>
      <c r="F813" s="14"/>
      <c r="G813" s="14"/>
      <c r="H813" s="16">
        <f t="shared" si="25"/>
        <v>40.08</v>
      </c>
      <c r="I813" s="14">
        <v>54</v>
      </c>
    </row>
    <row r="814" ht="24" customHeight="1" spans="1:9">
      <c r="A814" s="14" t="str">
        <f>"15115013201"</f>
        <v>15115013201</v>
      </c>
      <c r="B814" s="15" t="s">
        <v>27</v>
      </c>
      <c r="C814" s="14" t="s">
        <v>11</v>
      </c>
      <c r="D814" s="16">
        <v>64.96</v>
      </c>
      <c r="E814" s="16">
        <f t="shared" si="24"/>
        <v>38.976</v>
      </c>
      <c r="F814" s="14"/>
      <c r="G814" s="14"/>
      <c r="H814" s="16">
        <f t="shared" si="25"/>
        <v>38.976</v>
      </c>
      <c r="I814" s="14">
        <v>55</v>
      </c>
    </row>
    <row r="815" ht="24" customHeight="1" spans="1:9">
      <c r="A815" s="14" t="str">
        <f>"15115013026"</f>
        <v>15115013026</v>
      </c>
      <c r="B815" s="15" t="s">
        <v>27</v>
      </c>
      <c r="C815" s="14" t="s">
        <v>11</v>
      </c>
      <c r="D815" s="16">
        <v>63.2</v>
      </c>
      <c r="E815" s="16">
        <f t="shared" si="24"/>
        <v>37.92</v>
      </c>
      <c r="F815" s="14"/>
      <c r="G815" s="14"/>
      <c r="H815" s="16">
        <f t="shared" si="25"/>
        <v>37.92</v>
      </c>
      <c r="I815" s="14">
        <v>56</v>
      </c>
    </row>
    <row r="816" ht="24" customHeight="1" spans="1:9">
      <c r="A816" s="14" t="str">
        <f>"15115013022"</f>
        <v>15115013022</v>
      </c>
      <c r="B816" s="15" t="s">
        <v>27</v>
      </c>
      <c r="C816" s="14" t="s">
        <v>11</v>
      </c>
      <c r="D816" s="16">
        <v>62.36</v>
      </c>
      <c r="E816" s="16">
        <f t="shared" si="24"/>
        <v>37.416</v>
      </c>
      <c r="F816" s="14"/>
      <c r="G816" s="14"/>
      <c r="H816" s="16">
        <f t="shared" si="25"/>
        <v>37.416</v>
      </c>
      <c r="I816" s="14">
        <v>57</v>
      </c>
    </row>
    <row r="817" ht="24" customHeight="1" spans="1:9">
      <c r="A817" s="14" t="str">
        <f>"15115013013"</f>
        <v>15115013013</v>
      </c>
      <c r="B817" s="15" t="s">
        <v>27</v>
      </c>
      <c r="C817" s="14" t="s">
        <v>11</v>
      </c>
      <c r="D817" s="16">
        <v>62.28</v>
      </c>
      <c r="E817" s="16">
        <f t="shared" si="24"/>
        <v>37.368</v>
      </c>
      <c r="F817" s="14"/>
      <c r="G817" s="14"/>
      <c r="H817" s="16">
        <f t="shared" si="25"/>
        <v>37.368</v>
      </c>
      <c r="I817" s="14">
        <v>58</v>
      </c>
    </row>
    <row r="818" ht="24" customHeight="1" spans="1:9">
      <c r="A818" s="14" t="str">
        <f>"15115013207"</f>
        <v>15115013207</v>
      </c>
      <c r="B818" s="15" t="s">
        <v>27</v>
      </c>
      <c r="C818" s="14" t="s">
        <v>11</v>
      </c>
      <c r="D818" s="16">
        <v>58.32</v>
      </c>
      <c r="E818" s="16">
        <f t="shared" si="24"/>
        <v>34.992</v>
      </c>
      <c r="F818" s="14"/>
      <c r="G818" s="14"/>
      <c r="H818" s="16">
        <f t="shared" si="25"/>
        <v>34.992</v>
      </c>
      <c r="I818" s="14">
        <v>59</v>
      </c>
    </row>
    <row r="819" ht="24" customHeight="1" spans="1:9">
      <c r="A819" s="14" t="str">
        <f>"15115013025"</f>
        <v>15115013025</v>
      </c>
      <c r="B819" s="15" t="s">
        <v>27</v>
      </c>
      <c r="C819" s="14" t="s">
        <v>12</v>
      </c>
      <c r="D819" s="16">
        <v>53.04</v>
      </c>
      <c r="E819" s="16">
        <f t="shared" si="24"/>
        <v>31.824</v>
      </c>
      <c r="F819" s="14">
        <v>2.5</v>
      </c>
      <c r="G819" s="14"/>
      <c r="H819" s="16">
        <f t="shared" si="25"/>
        <v>34.324</v>
      </c>
      <c r="I819" s="14">
        <v>60</v>
      </c>
    </row>
    <row r="820" ht="24" customHeight="1" spans="1:9">
      <c r="A820" s="14" t="str">
        <f>"15115013130"</f>
        <v>15115013130</v>
      </c>
      <c r="B820" s="15" t="s">
        <v>27</v>
      </c>
      <c r="C820" s="14" t="s">
        <v>11</v>
      </c>
      <c r="D820" s="16">
        <v>55.96</v>
      </c>
      <c r="E820" s="16">
        <f t="shared" si="24"/>
        <v>33.576</v>
      </c>
      <c r="F820" s="14"/>
      <c r="G820" s="14"/>
      <c r="H820" s="16">
        <f t="shared" si="25"/>
        <v>33.576</v>
      </c>
      <c r="I820" s="14">
        <v>61</v>
      </c>
    </row>
    <row r="821" ht="24" customHeight="1" spans="1:9">
      <c r="A821" s="14" t="str">
        <f>"15115013012"</f>
        <v>15115013012</v>
      </c>
      <c r="B821" s="15" t="s">
        <v>27</v>
      </c>
      <c r="C821" s="14" t="s">
        <v>11</v>
      </c>
      <c r="D821" s="16">
        <v>54.04</v>
      </c>
      <c r="E821" s="16">
        <f t="shared" si="24"/>
        <v>32.424</v>
      </c>
      <c r="F821" s="14"/>
      <c r="G821" s="14"/>
      <c r="H821" s="16">
        <f t="shared" si="25"/>
        <v>32.424</v>
      </c>
      <c r="I821" s="14">
        <v>62</v>
      </c>
    </row>
    <row r="822" ht="24" customHeight="1" spans="1:9">
      <c r="A822" s="14" t="str">
        <f>"15115013006"</f>
        <v>15115013006</v>
      </c>
      <c r="B822" s="15" t="s">
        <v>27</v>
      </c>
      <c r="C822" s="14" t="s">
        <v>12</v>
      </c>
      <c r="D822" s="16">
        <v>-1</v>
      </c>
      <c r="E822" s="16">
        <f t="shared" si="24"/>
        <v>-0.6</v>
      </c>
      <c r="F822" s="14">
        <v>2.5</v>
      </c>
      <c r="G822" s="14"/>
      <c r="H822" s="16">
        <f t="shared" si="25"/>
        <v>1.9</v>
      </c>
      <c r="I822" s="14">
        <v>63</v>
      </c>
    </row>
    <row r="823" ht="24" customHeight="1" spans="1:9">
      <c r="A823" s="14" t="str">
        <f>"15115013104"</f>
        <v>15115013104</v>
      </c>
      <c r="B823" s="15" t="s">
        <v>27</v>
      </c>
      <c r="C823" s="14" t="s">
        <v>12</v>
      </c>
      <c r="D823" s="16">
        <v>-1</v>
      </c>
      <c r="E823" s="16">
        <f t="shared" si="24"/>
        <v>-0.6</v>
      </c>
      <c r="F823" s="14">
        <v>2.5</v>
      </c>
      <c r="G823" s="14"/>
      <c r="H823" s="16">
        <f t="shared" si="25"/>
        <v>1.9</v>
      </c>
      <c r="I823" s="14">
        <v>64</v>
      </c>
    </row>
    <row r="824" ht="24" customHeight="1" spans="1:9">
      <c r="A824" s="14" t="str">
        <f>"15115013003"</f>
        <v>15115013003</v>
      </c>
      <c r="B824" s="15" t="s">
        <v>27</v>
      </c>
      <c r="C824" s="14" t="s">
        <v>11</v>
      </c>
      <c r="D824" s="16">
        <v>-1</v>
      </c>
      <c r="E824" s="16">
        <f t="shared" si="24"/>
        <v>-0.6</v>
      </c>
      <c r="F824" s="14"/>
      <c r="G824" s="14"/>
      <c r="H824" s="16">
        <f t="shared" si="25"/>
        <v>-0.6</v>
      </c>
      <c r="I824" s="14">
        <v>65</v>
      </c>
    </row>
    <row r="825" ht="24" customHeight="1" spans="1:9">
      <c r="A825" s="14" t="str">
        <f>"15115013008"</f>
        <v>15115013008</v>
      </c>
      <c r="B825" s="15" t="s">
        <v>27</v>
      </c>
      <c r="C825" s="14" t="s">
        <v>11</v>
      </c>
      <c r="D825" s="16">
        <v>-1</v>
      </c>
      <c r="E825" s="16">
        <f t="shared" si="24"/>
        <v>-0.6</v>
      </c>
      <c r="F825" s="14"/>
      <c r="G825" s="14"/>
      <c r="H825" s="16">
        <f t="shared" si="25"/>
        <v>-0.6</v>
      </c>
      <c r="I825" s="14">
        <v>66</v>
      </c>
    </row>
    <row r="826" ht="24" customHeight="1" spans="1:9">
      <c r="A826" s="14" t="str">
        <f>"15115013024"</f>
        <v>15115013024</v>
      </c>
      <c r="B826" s="15" t="s">
        <v>27</v>
      </c>
      <c r="C826" s="14" t="s">
        <v>11</v>
      </c>
      <c r="D826" s="16">
        <v>-1</v>
      </c>
      <c r="E826" s="16">
        <f t="shared" si="24"/>
        <v>-0.6</v>
      </c>
      <c r="F826" s="14"/>
      <c r="G826" s="14"/>
      <c r="H826" s="16">
        <f t="shared" si="25"/>
        <v>-0.6</v>
      </c>
      <c r="I826" s="14">
        <v>67</v>
      </c>
    </row>
    <row r="827" ht="24" customHeight="1" spans="1:9">
      <c r="A827" s="14" t="str">
        <f>"15115013029"</f>
        <v>15115013029</v>
      </c>
      <c r="B827" s="15" t="s">
        <v>27</v>
      </c>
      <c r="C827" s="14" t="s">
        <v>11</v>
      </c>
      <c r="D827" s="16">
        <v>-1</v>
      </c>
      <c r="E827" s="16">
        <f t="shared" si="24"/>
        <v>-0.6</v>
      </c>
      <c r="F827" s="14"/>
      <c r="G827" s="14"/>
      <c r="H827" s="16">
        <f t="shared" si="25"/>
        <v>-0.6</v>
      </c>
      <c r="I827" s="14">
        <v>68</v>
      </c>
    </row>
    <row r="828" ht="24" customHeight="1" spans="1:9">
      <c r="A828" s="14" t="str">
        <f>"15115013112"</f>
        <v>15115013112</v>
      </c>
      <c r="B828" s="15" t="s">
        <v>27</v>
      </c>
      <c r="C828" s="14" t="s">
        <v>11</v>
      </c>
      <c r="D828" s="16">
        <v>-1</v>
      </c>
      <c r="E828" s="16">
        <f t="shared" si="24"/>
        <v>-0.6</v>
      </c>
      <c r="F828" s="14"/>
      <c r="G828" s="14"/>
      <c r="H828" s="16">
        <f t="shared" si="25"/>
        <v>-0.6</v>
      </c>
      <c r="I828" s="14">
        <v>69</v>
      </c>
    </row>
    <row r="829" ht="24" customHeight="1" spans="1:9">
      <c r="A829" s="14" t="str">
        <f>"15115013120"</f>
        <v>15115013120</v>
      </c>
      <c r="B829" s="15" t="s">
        <v>27</v>
      </c>
      <c r="C829" s="14" t="s">
        <v>11</v>
      </c>
      <c r="D829" s="16">
        <v>-1</v>
      </c>
      <c r="E829" s="16">
        <f t="shared" si="24"/>
        <v>-0.6</v>
      </c>
      <c r="F829" s="14"/>
      <c r="G829" s="14"/>
      <c r="H829" s="16">
        <f t="shared" si="25"/>
        <v>-0.6</v>
      </c>
      <c r="I829" s="14">
        <v>70</v>
      </c>
    </row>
    <row r="830" ht="24" customHeight="1" spans="1:9">
      <c r="A830" s="14" t="str">
        <f>"15115013124"</f>
        <v>15115013124</v>
      </c>
      <c r="B830" s="15" t="s">
        <v>27</v>
      </c>
      <c r="C830" s="14" t="s">
        <v>11</v>
      </c>
      <c r="D830" s="16">
        <v>-1</v>
      </c>
      <c r="E830" s="16">
        <f t="shared" si="24"/>
        <v>-0.6</v>
      </c>
      <c r="F830" s="14"/>
      <c r="G830" s="14"/>
      <c r="H830" s="16">
        <f t="shared" si="25"/>
        <v>-0.6</v>
      </c>
      <c r="I830" s="14">
        <v>71</v>
      </c>
    </row>
    <row r="831" ht="24" customHeight="1" spans="1:9">
      <c r="A831" s="14" t="str">
        <f>"15115013203"</f>
        <v>15115013203</v>
      </c>
      <c r="B831" s="15" t="s">
        <v>27</v>
      </c>
      <c r="C831" s="14" t="s">
        <v>11</v>
      </c>
      <c r="D831" s="16">
        <v>-1</v>
      </c>
      <c r="E831" s="16">
        <f t="shared" si="24"/>
        <v>-0.6</v>
      </c>
      <c r="F831" s="14"/>
      <c r="G831" s="14"/>
      <c r="H831" s="16">
        <f t="shared" si="25"/>
        <v>-0.6</v>
      </c>
      <c r="I831" s="14">
        <v>72</v>
      </c>
    </row>
    <row r="832" ht="24" customHeight="1" spans="1:9">
      <c r="A832" s="11" t="str">
        <f>"15116013318"</f>
        <v>15116013318</v>
      </c>
      <c r="B832" s="12" t="s">
        <v>29</v>
      </c>
      <c r="C832" s="11" t="s">
        <v>11</v>
      </c>
      <c r="D832" s="13">
        <v>92.6</v>
      </c>
      <c r="E832" s="13">
        <f t="shared" si="24"/>
        <v>55.56</v>
      </c>
      <c r="F832" s="11"/>
      <c r="G832" s="11"/>
      <c r="H832" s="13">
        <f t="shared" si="25"/>
        <v>55.56</v>
      </c>
      <c r="I832" s="11">
        <v>1</v>
      </c>
    </row>
    <row r="833" ht="24" customHeight="1" spans="1:9">
      <c r="A833" s="11" t="str">
        <f>"15116013409"</f>
        <v>15116013409</v>
      </c>
      <c r="B833" s="12" t="s">
        <v>29</v>
      </c>
      <c r="C833" s="11" t="s">
        <v>11</v>
      </c>
      <c r="D833" s="13">
        <v>91</v>
      </c>
      <c r="E833" s="13">
        <f t="shared" si="24"/>
        <v>54.6</v>
      </c>
      <c r="F833" s="11"/>
      <c r="G833" s="11"/>
      <c r="H833" s="13">
        <f t="shared" si="25"/>
        <v>54.6</v>
      </c>
      <c r="I833" s="11">
        <v>2</v>
      </c>
    </row>
    <row r="834" ht="24" customHeight="1" spans="1:9">
      <c r="A834" s="11" t="str">
        <f>"15116013227"</f>
        <v>15116013227</v>
      </c>
      <c r="B834" s="12" t="s">
        <v>29</v>
      </c>
      <c r="C834" s="11" t="s">
        <v>11</v>
      </c>
      <c r="D834" s="13">
        <v>88.32</v>
      </c>
      <c r="E834" s="13">
        <f t="shared" si="24"/>
        <v>52.992</v>
      </c>
      <c r="F834" s="11"/>
      <c r="G834" s="11"/>
      <c r="H834" s="13">
        <f t="shared" si="25"/>
        <v>52.992</v>
      </c>
      <c r="I834" s="11">
        <v>3</v>
      </c>
    </row>
    <row r="835" ht="24" customHeight="1" spans="1:9">
      <c r="A835" s="14" t="str">
        <f>"15116013329"</f>
        <v>15116013329</v>
      </c>
      <c r="B835" s="15" t="s">
        <v>29</v>
      </c>
      <c r="C835" s="14" t="s">
        <v>12</v>
      </c>
      <c r="D835" s="16">
        <v>82.52</v>
      </c>
      <c r="E835" s="16">
        <f t="shared" ref="E835:E898" si="26">D835*0.6</f>
        <v>49.512</v>
      </c>
      <c r="F835" s="14">
        <v>2.5</v>
      </c>
      <c r="G835" s="14"/>
      <c r="H835" s="16">
        <f t="shared" ref="H835:H898" si="27">SUM(E835:G835)</f>
        <v>52.012</v>
      </c>
      <c r="I835" s="14">
        <v>4</v>
      </c>
    </row>
    <row r="836" ht="24" customHeight="1" spans="1:9">
      <c r="A836" s="14" t="str">
        <f>"15116013403"</f>
        <v>15116013403</v>
      </c>
      <c r="B836" s="15" t="s">
        <v>29</v>
      </c>
      <c r="C836" s="14" t="s">
        <v>11</v>
      </c>
      <c r="D836" s="16">
        <v>86.64</v>
      </c>
      <c r="E836" s="16">
        <f t="shared" si="26"/>
        <v>51.984</v>
      </c>
      <c r="F836" s="14"/>
      <c r="G836" s="14"/>
      <c r="H836" s="16">
        <f t="shared" si="27"/>
        <v>51.984</v>
      </c>
      <c r="I836" s="14">
        <v>5</v>
      </c>
    </row>
    <row r="837" ht="24" customHeight="1" spans="1:9">
      <c r="A837" s="14" t="str">
        <f>"15116013215"</f>
        <v>15116013215</v>
      </c>
      <c r="B837" s="15" t="s">
        <v>29</v>
      </c>
      <c r="C837" s="14" t="s">
        <v>12</v>
      </c>
      <c r="D837" s="16">
        <v>81.68</v>
      </c>
      <c r="E837" s="16">
        <f t="shared" si="26"/>
        <v>49.008</v>
      </c>
      <c r="F837" s="14">
        <v>2.5</v>
      </c>
      <c r="G837" s="14"/>
      <c r="H837" s="16">
        <f t="shared" si="27"/>
        <v>51.508</v>
      </c>
      <c r="I837" s="14">
        <v>6</v>
      </c>
    </row>
    <row r="838" ht="24" customHeight="1" spans="1:9">
      <c r="A838" s="14" t="str">
        <f>"15116013213"</f>
        <v>15116013213</v>
      </c>
      <c r="B838" s="15" t="s">
        <v>29</v>
      </c>
      <c r="C838" s="14" t="s">
        <v>11</v>
      </c>
      <c r="D838" s="16">
        <v>85.8</v>
      </c>
      <c r="E838" s="16">
        <f t="shared" si="26"/>
        <v>51.48</v>
      </c>
      <c r="F838" s="14"/>
      <c r="G838" s="14"/>
      <c r="H838" s="16">
        <f t="shared" si="27"/>
        <v>51.48</v>
      </c>
      <c r="I838" s="14">
        <v>7</v>
      </c>
    </row>
    <row r="839" ht="24" customHeight="1" spans="1:9">
      <c r="A839" s="14" t="str">
        <f>"15116013327"</f>
        <v>15116013327</v>
      </c>
      <c r="B839" s="15" t="s">
        <v>29</v>
      </c>
      <c r="C839" s="14" t="s">
        <v>11</v>
      </c>
      <c r="D839" s="16">
        <v>85.72</v>
      </c>
      <c r="E839" s="16">
        <f t="shared" si="26"/>
        <v>51.432</v>
      </c>
      <c r="F839" s="14"/>
      <c r="G839" s="14"/>
      <c r="H839" s="16">
        <f t="shared" si="27"/>
        <v>51.432</v>
      </c>
      <c r="I839" s="14">
        <v>8</v>
      </c>
    </row>
    <row r="840" ht="24" customHeight="1" spans="1:9">
      <c r="A840" s="14" t="str">
        <f>"15116013306"</f>
        <v>15116013306</v>
      </c>
      <c r="B840" s="15" t="s">
        <v>29</v>
      </c>
      <c r="C840" s="14" t="s">
        <v>11</v>
      </c>
      <c r="D840" s="16">
        <v>85.12</v>
      </c>
      <c r="E840" s="16">
        <f t="shared" si="26"/>
        <v>51.072</v>
      </c>
      <c r="F840" s="14"/>
      <c r="G840" s="14"/>
      <c r="H840" s="16">
        <f t="shared" si="27"/>
        <v>51.072</v>
      </c>
      <c r="I840" s="14">
        <v>9</v>
      </c>
    </row>
    <row r="841" ht="24" customHeight="1" spans="1:9">
      <c r="A841" s="14" t="str">
        <f>"15116013326"</f>
        <v>15116013326</v>
      </c>
      <c r="B841" s="15" t="s">
        <v>29</v>
      </c>
      <c r="C841" s="14" t="s">
        <v>12</v>
      </c>
      <c r="D841" s="16">
        <v>80.92</v>
      </c>
      <c r="E841" s="16">
        <f t="shared" si="26"/>
        <v>48.552</v>
      </c>
      <c r="F841" s="14">
        <v>2.5</v>
      </c>
      <c r="G841" s="14"/>
      <c r="H841" s="16">
        <f t="shared" si="27"/>
        <v>51.052</v>
      </c>
      <c r="I841" s="14">
        <v>10</v>
      </c>
    </row>
    <row r="842" ht="24" customHeight="1" spans="1:9">
      <c r="A842" s="14" t="str">
        <f>"15116013301"</f>
        <v>15116013301</v>
      </c>
      <c r="B842" s="15" t="s">
        <v>29</v>
      </c>
      <c r="C842" s="14" t="s">
        <v>11</v>
      </c>
      <c r="D842" s="16">
        <v>84.96</v>
      </c>
      <c r="E842" s="16">
        <f t="shared" si="26"/>
        <v>50.976</v>
      </c>
      <c r="F842" s="14"/>
      <c r="G842" s="14"/>
      <c r="H842" s="16">
        <f t="shared" si="27"/>
        <v>50.976</v>
      </c>
      <c r="I842" s="14">
        <v>11</v>
      </c>
    </row>
    <row r="843" ht="24" customHeight="1" spans="1:9">
      <c r="A843" s="14" t="str">
        <f>"15116013303"</f>
        <v>15116013303</v>
      </c>
      <c r="B843" s="15" t="s">
        <v>29</v>
      </c>
      <c r="C843" s="14" t="s">
        <v>11</v>
      </c>
      <c r="D843" s="16">
        <v>84.2</v>
      </c>
      <c r="E843" s="16">
        <f t="shared" si="26"/>
        <v>50.52</v>
      </c>
      <c r="F843" s="14"/>
      <c r="G843" s="14"/>
      <c r="H843" s="16">
        <f t="shared" si="27"/>
        <v>50.52</v>
      </c>
      <c r="I843" s="14">
        <v>12</v>
      </c>
    </row>
    <row r="844" ht="24" customHeight="1" spans="1:9">
      <c r="A844" s="14" t="str">
        <f>"15116013323"</f>
        <v>15116013323</v>
      </c>
      <c r="B844" s="15" t="s">
        <v>29</v>
      </c>
      <c r="C844" s="14" t="s">
        <v>11</v>
      </c>
      <c r="D844" s="16">
        <v>84.2</v>
      </c>
      <c r="E844" s="16">
        <f t="shared" si="26"/>
        <v>50.52</v>
      </c>
      <c r="F844" s="14"/>
      <c r="G844" s="14"/>
      <c r="H844" s="16">
        <f t="shared" si="27"/>
        <v>50.52</v>
      </c>
      <c r="I844" s="14">
        <v>13</v>
      </c>
    </row>
    <row r="845" ht="24" customHeight="1" spans="1:9">
      <c r="A845" s="14" t="str">
        <f>"15116013408"</f>
        <v>15116013408</v>
      </c>
      <c r="B845" s="15" t="s">
        <v>29</v>
      </c>
      <c r="C845" s="14" t="s">
        <v>11</v>
      </c>
      <c r="D845" s="16">
        <v>84.12</v>
      </c>
      <c r="E845" s="16">
        <f t="shared" si="26"/>
        <v>50.472</v>
      </c>
      <c r="F845" s="14"/>
      <c r="G845" s="14"/>
      <c r="H845" s="16">
        <f t="shared" si="27"/>
        <v>50.472</v>
      </c>
      <c r="I845" s="14">
        <v>14</v>
      </c>
    </row>
    <row r="846" ht="24" customHeight="1" spans="1:9">
      <c r="A846" s="14" t="str">
        <f>"15116013413"</f>
        <v>15116013413</v>
      </c>
      <c r="B846" s="15" t="s">
        <v>29</v>
      </c>
      <c r="C846" s="14" t="s">
        <v>11</v>
      </c>
      <c r="D846" s="16">
        <v>84.12</v>
      </c>
      <c r="E846" s="16">
        <f t="shared" si="26"/>
        <v>50.472</v>
      </c>
      <c r="F846" s="14"/>
      <c r="G846" s="14"/>
      <c r="H846" s="16">
        <f t="shared" si="27"/>
        <v>50.472</v>
      </c>
      <c r="I846" s="14">
        <v>15</v>
      </c>
    </row>
    <row r="847" ht="24" customHeight="1" spans="1:9">
      <c r="A847" s="14" t="str">
        <f>"15116013228"</f>
        <v>15116013228</v>
      </c>
      <c r="B847" s="15" t="s">
        <v>29</v>
      </c>
      <c r="C847" s="14" t="s">
        <v>11</v>
      </c>
      <c r="D847" s="16">
        <v>83.44</v>
      </c>
      <c r="E847" s="16">
        <f t="shared" si="26"/>
        <v>50.064</v>
      </c>
      <c r="F847" s="14"/>
      <c r="G847" s="14"/>
      <c r="H847" s="16">
        <f t="shared" si="27"/>
        <v>50.064</v>
      </c>
      <c r="I847" s="14">
        <v>16</v>
      </c>
    </row>
    <row r="848" ht="24" customHeight="1" spans="1:9">
      <c r="A848" s="14" t="str">
        <f>"15116013312"</f>
        <v>15116013312</v>
      </c>
      <c r="B848" s="15" t="s">
        <v>29</v>
      </c>
      <c r="C848" s="14" t="s">
        <v>11</v>
      </c>
      <c r="D848" s="16">
        <v>83.36</v>
      </c>
      <c r="E848" s="16">
        <f t="shared" si="26"/>
        <v>50.016</v>
      </c>
      <c r="F848" s="14"/>
      <c r="G848" s="14"/>
      <c r="H848" s="16">
        <f t="shared" si="27"/>
        <v>50.016</v>
      </c>
      <c r="I848" s="14">
        <v>17</v>
      </c>
    </row>
    <row r="849" ht="24" customHeight="1" spans="1:9">
      <c r="A849" s="14" t="str">
        <f>"15116013308"</f>
        <v>15116013308</v>
      </c>
      <c r="B849" s="15" t="s">
        <v>29</v>
      </c>
      <c r="C849" s="14" t="s">
        <v>12</v>
      </c>
      <c r="D849" s="16">
        <v>78.4</v>
      </c>
      <c r="E849" s="16">
        <f t="shared" si="26"/>
        <v>47.04</v>
      </c>
      <c r="F849" s="14">
        <v>2.5</v>
      </c>
      <c r="G849" s="14"/>
      <c r="H849" s="16">
        <f t="shared" si="27"/>
        <v>49.54</v>
      </c>
      <c r="I849" s="14">
        <v>18</v>
      </c>
    </row>
    <row r="850" ht="24" customHeight="1" spans="1:9">
      <c r="A850" s="14" t="str">
        <f>"15116013410"</f>
        <v>15116013410</v>
      </c>
      <c r="B850" s="15" t="s">
        <v>29</v>
      </c>
      <c r="C850" s="14" t="s">
        <v>11</v>
      </c>
      <c r="D850" s="16">
        <v>82.52</v>
      </c>
      <c r="E850" s="16">
        <f t="shared" si="26"/>
        <v>49.512</v>
      </c>
      <c r="F850" s="14"/>
      <c r="G850" s="14"/>
      <c r="H850" s="16">
        <f t="shared" si="27"/>
        <v>49.512</v>
      </c>
      <c r="I850" s="14">
        <v>19</v>
      </c>
    </row>
    <row r="851" ht="24" customHeight="1" spans="1:9">
      <c r="A851" s="14" t="str">
        <f>"15116013401"</f>
        <v>15116013401</v>
      </c>
      <c r="B851" s="15" t="s">
        <v>29</v>
      </c>
      <c r="C851" s="14" t="s">
        <v>11</v>
      </c>
      <c r="D851" s="16">
        <v>81.92</v>
      </c>
      <c r="E851" s="16">
        <f t="shared" si="26"/>
        <v>49.152</v>
      </c>
      <c r="F851" s="14"/>
      <c r="G851" s="14"/>
      <c r="H851" s="16">
        <f t="shared" si="27"/>
        <v>49.152</v>
      </c>
      <c r="I851" s="14">
        <v>20</v>
      </c>
    </row>
    <row r="852" ht="24" customHeight="1" spans="1:9">
      <c r="A852" s="14" t="str">
        <f>"15116013314"</f>
        <v>15116013314</v>
      </c>
      <c r="B852" s="15" t="s">
        <v>29</v>
      </c>
      <c r="C852" s="14" t="s">
        <v>11</v>
      </c>
      <c r="D852" s="16">
        <v>81.84</v>
      </c>
      <c r="E852" s="16">
        <f t="shared" si="26"/>
        <v>49.104</v>
      </c>
      <c r="F852" s="14"/>
      <c r="G852" s="14"/>
      <c r="H852" s="16">
        <f t="shared" si="27"/>
        <v>49.104</v>
      </c>
      <c r="I852" s="14">
        <v>21</v>
      </c>
    </row>
    <row r="853" ht="24" customHeight="1" spans="1:9">
      <c r="A853" s="14" t="str">
        <f>"15116013221"</f>
        <v>15116013221</v>
      </c>
      <c r="B853" s="15" t="s">
        <v>29</v>
      </c>
      <c r="C853" s="14" t="s">
        <v>11</v>
      </c>
      <c r="D853" s="16">
        <v>81.76</v>
      </c>
      <c r="E853" s="16">
        <f t="shared" si="26"/>
        <v>49.056</v>
      </c>
      <c r="F853" s="14"/>
      <c r="G853" s="14"/>
      <c r="H853" s="16">
        <f t="shared" si="27"/>
        <v>49.056</v>
      </c>
      <c r="I853" s="14">
        <v>22</v>
      </c>
    </row>
    <row r="854" ht="24" customHeight="1" spans="1:9">
      <c r="A854" s="14" t="str">
        <f>"15116013325"</f>
        <v>15116013325</v>
      </c>
      <c r="B854" s="15" t="s">
        <v>29</v>
      </c>
      <c r="C854" s="14" t="s">
        <v>11</v>
      </c>
      <c r="D854" s="16">
        <v>81.68</v>
      </c>
      <c r="E854" s="16">
        <f t="shared" si="26"/>
        <v>49.008</v>
      </c>
      <c r="F854" s="14"/>
      <c r="G854" s="14"/>
      <c r="H854" s="16">
        <f t="shared" si="27"/>
        <v>49.008</v>
      </c>
      <c r="I854" s="14">
        <v>23</v>
      </c>
    </row>
    <row r="855" ht="24" customHeight="1" spans="1:9">
      <c r="A855" s="14" t="str">
        <f>"15116013411"</f>
        <v>15116013411</v>
      </c>
      <c r="B855" s="15" t="s">
        <v>29</v>
      </c>
      <c r="C855" s="14" t="s">
        <v>11</v>
      </c>
      <c r="D855" s="16">
        <v>81.68</v>
      </c>
      <c r="E855" s="16">
        <f t="shared" si="26"/>
        <v>49.008</v>
      </c>
      <c r="F855" s="14"/>
      <c r="G855" s="14"/>
      <c r="H855" s="16">
        <f t="shared" si="27"/>
        <v>49.008</v>
      </c>
      <c r="I855" s="14">
        <v>24</v>
      </c>
    </row>
    <row r="856" ht="24" customHeight="1" spans="1:9">
      <c r="A856" s="14" t="str">
        <f>"15116013324"</f>
        <v>15116013324</v>
      </c>
      <c r="B856" s="15" t="s">
        <v>29</v>
      </c>
      <c r="C856" s="14" t="s">
        <v>11</v>
      </c>
      <c r="D856" s="16">
        <v>80.76</v>
      </c>
      <c r="E856" s="16">
        <f t="shared" si="26"/>
        <v>48.456</v>
      </c>
      <c r="F856" s="14"/>
      <c r="G856" s="14"/>
      <c r="H856" s="16">
        <f t="shared" si="27"/>
        <v>48.456</v>
      </c>
      <c r="I856" s="14">
        <v>25</v>
      </c>
    </row>
    <row r="857" ht="24" customHeight="1" spans="1:9">
      <c r="A857" s="14" t="str">
        <f>"15116013402"</f>
        <v>15116013402</v>
      </c>
      <c r="B857" s="15" t="s">
        <v>29</v>
      </c>
      <c r="C857" s="14" t="s">
        <v>11</v>
      </c>
      <c r="D857" s="16">
        <v>80.16</v>
      </c>
      <c r="E857" s="16">
        <f t="shared" si="26"/>
        <v>48.096</v>
      </c>
      <c r="F857" s="14"/>
      <c r="G857" s="14"/>
      <c r="H857" s="16">
        <f t="shared" si="27"/>
        <v>48.096</v>
      </c>
      <c r="I857" s="14">
        <v>26</v>
      </c>
    </row>
    <row r="858" ht="24" customHeight="1" spans="1:9">
      <c r="A858" s="14" t="str">
        <f>"15116013322"</f>
        <v>15116013322</v>
      </c>
      <c r="B858" s="15" t="s">
        <v>29</v>
      </c>
      <c r="C858" s="14" t="s">
        <v>12</v>
      </c>
      <c r="D858" s="16">
        <v>75.96</v>
      </c>
      <c r="E858" s="16">
        <f t="shared" si="26"/>
        <v>45.576</v>
      </c>
      <c r="F858" s="14">
        <v>2.5</v>
      </c>
      <c r="G858" s="14"/>
      <c r="H858" s="16">
        <f t="shared" si="27"/>
        <v>48.076</v>
      </c>
      <c r="I858" s="14">
        <v>27</v>
      </c>
    </row>
    <row r="859" ht="24" customHeight="1" spans="1:9">
      <c r="A859" s="14" t="str">
        <f>"15116013304"</f>
        <v>15116013304</v>
      </c>
      <c r="B859" s="15" t="s">
        <v>29</v>
      </c>
      <c r="C859" s="14" t="s">
        <v>11</v>
      </c>
      <c r="D859" s="16">
        <v>80</v>
      </c>
      <c r="E859" s="16">
        <f t="shared" si="26"/>
        <v>48</v>
      </c>
      <c r="F859" s="14"/>
      <c r="G859" s="14"/>
      <c r="H859" s="16">
        <f t="shared" si="27"/>
        <v>48</v>
      </c>
      <c r="I859" s="14">
        <v>28</v>
      </c>
    </row>
    <row r="860" ht="24" customHeight="1" spans="1:9">
      <c r="A860" s="14" t="str">
        <f>"15116013404"</f>
        <v>15116013404</v>
      </c>
      <c r="B860" s="15" t="s">
        <v>29</v>
      </c>
      <c r="C860" s="14" t="s">
        <v>12</v>
      </c>
      <c r="D860" s="16">
        <v>75.8</v>
      </c>
      <c r="E860" s="16">
        <f t="shared" si="26"/>
        <v>45.48</v>
      </c>
      <c r="F860" s="14">
        <v>2.5</v>
      </c>
      <c r="G860" s="14"/>
      <c r="H860" s="16">
        <f t="shared" si="27"/>
        <v>47.98</v>
      </c>
      <c r="I860" s="14">
        <v>29</v>
      </c>
    </row>
    <row r="861" ht="24" customHeight="1" spans="1:9">
      <c r="A861" s="14" t="str">
        <f>"15116013217"</f>
        <v>15116013217</v>
      </c>
      <c r="B861" s="15" t="s">
        <v>29</v>
      </c>
      <c r="C861" s="14" t="s">
        <v>12</v>
      </c>
      <c r="D861" s="16">
        <v>75.04</v>
      </c>
      <c r="E861" s="16">
        <f t="shared" si="26"/>
        <v>45.024</v>
      </c>
      <c r="F861" s="14">
        <v>2.5</v>
      </c>
      <c r="G861" s="14"/>
      <c r="H861" s="16">
        <f t="shared" si="27"/>
        <v>47.524</v>
      </c>
      <c r="I861" s="14">
        <v>30</v>
      </c>
    </row>
    <row r="862" ht="24" customHeight="1" spans="1:9">
      <c r="A862" s="14" t="str">
        <f>"15116013315"</f>
        <v>15116013315</v>
      </c>
      <c r="B862" s="15" t="s">
        <v>29</v>
      </c>
      <c r="C862" s="14" t="s">
        <v>11</v>
      </c>
      <c r="D862" s="16">
        <v>78.48</v>
      </c>
      <c r="E862" s="16">
        <f t="shared" si="26"/>
        <v>47.088</v>
      </c>
      <c r="F862" s="14"/>
      <c r="G862" s="14"/>
      <c r="H862" s="16">
        <f t="shared" si="27"/>
        <v>47.088</v>
      </c>
      <c r="I862" s="14">
        <v>31</v>
      </c>
    </row>
    <row r="863" ht="24" customHeight="1" spans="1:9">
      <c r="A863" s="14" t="str">
        <f>"15116013415"</f>
        <v>15116013415</v>
      </c>
      <c r="B863" s="15" t="s">
        <v>29</v>
      </c>
      <c r="C863" s="14" t="s">
        <v>11</v>
      </c>
      <c r="D863" s="16">
        <v>78.48</v>
      </c>
      <c r="E863" s="16">
        <f t="shared" si="26"/>
        <v>47.088</v>
      </c>
      <c r="F863" s="14"/>
      <c r="G863" s="14"/>
      <c r="H863" s="16">
        <f t="shared" si="27"/>
        <v>47.088</v>
      </c>
      <c r="I863" s="14">
        <v>32</v>
      </c>
    </row>
    <row r="864" ht="24" customHeight="1" spans="1:9">
      <c r="A864" s="14" t="str">
        <f>"15116013214"</f>
        <v>15116013214</v>
      </c>
      <c r="B864" s="15" t="s">
        <v>29</v>
      </c>
      <c r="C864" s="14" t="s">
        <v>11</v>
      </c>
      <c r="D864" s="16">
        <v>77.48</v>
      </c>
      <c r="E864" s="16">
        <f t="shared" si="26"/>
        <v>46.488</v>
      </c>
      <c r="F864" s="14"/>
      <c r="G864" s="14"/>
      <c r="H864" s="16">
        <f t="shared" si="27"/>
        <v>46.488</v>
      </c>
      <c r="I864" s="14">
        <v>33</v>
      </c>
    </row>
    <row r="865" ht="24" customHeight="1" spans="1:9">
      <c r="A865" s="14" t="str">
        <f>"15116013219"</f>
        <v>15116013219</v>
      </c>
      <c r="B865" s="15" t="s">
        <v>29</v>
      </c>
      <c r="C865" s="14" t="s">
        <v>11</v>
      </c>
      <c r="D865" s="16">
        <v>76.64</v>
      </c>
      <c r="E865" s="16">
        <f t="shared" si="26"/>
        <v>45.984</v>
      </c>
      <c r="F865" s="14"/>
      <c r="G865" s="14"/>
      <c r="H865" s="16">
        <f t="shared" si="27"/>
        <v>45.984</v>
      </c>
      <c r="I865" s="14">
        <v>34</v>
      </c>
    </row>
    <row r="866" ht="24" customHeight="1" spans="1:9">
      <c r="A866" s="14" t="str">
        <f>"15116013405"</f>
        <v>15116013405</v>
      </c>
      <c r="B866" s="15" t="s">
        <v>29</v>
      </c>
      <c r="C866" s="14" t="s">
        <v>11</v>
      </c>
      <c r="D866" s="16">
        <v>76.64</v>
      </c>
      <c r="E866" s="16">
        <f t="shared" si="26"/>
        <v>45.984</v>
      </c>
      <c r="F866" s="14"/>
      <c r="G866" s="14"/>
      <c r="H866" s="16">
        <f t="shared" si="27"/>
        <v>45.984</v>
      </c>
      <c r="I866" s="14">
        <v>35</v>
      </c>
    </row>
    <row r="867" ht="24" customHeight="1" spans="1:9">
      <c r="A867" s="14" t="str">
        <f>"15116013226"</f>
        <v>15116013226</v>
      </c>
      <c r="B867" s="15" t="s">
        <v>29</v>
      </c>
      <c r="C867" s="14" t="s">
        <v>11</v>
      </c>
      <c r="D867" s="16">
        <v>75.96</v>
      </c>
      <c r="E867" s="16">
        <f t="shared" si="26"/>
        <v>45.576</v>
      </c>
      <c r="F867" s="14"/>
      <c r="G867" s="14"/>
      <c r="H867" s="16">
        <f t="shared" si="27"/>
        <v>45.576</v>
      </c>
      <c r="I867" s="14">
        <v>36</v>
      </c>
    </row>
    <row r="868" ht="24" customHeight="1" spans="1:9">
      <c r="A868" s="14" t="str">
        <f>"15116013218"</f>
        <v>15116013218</v>
      </c>
      <c r="B868" s="15" t="s">
        <v>29</v>
      </c>
      <c r="C868" s="14" t="s">
        <v>11</v>
      </c>
      <c r="D868" s="16">
        <v>75.8</v>
      </c>
      <c r="E868" s="16">
        <f t="shared" si="26"/>
        <v>45.48</v>
      </c>
      <c r="F868" s="14"/>
      <c r="G868" s="14"/>
      <c r="H868" s="16">
        <f t="shared" si="27"/>
        <v>45.48</v>
      </c>
      <c r="I868" s="14">
        <v>37</v>
      </c>
    </row>
    <row r="869" ht="24" customHeight="1" spans="1:9">
      <c r="A869" s="14" t="str">
        <f>"15116013310"</f>
        <v>15116013310</v>
      </c>
      <c r="B869" s="15" t="s">
        <v>29</v>
      </c>
      <c r="C869" s="14" t="s">
        <v>12</v>
      </c>
      <c r="D869" s="16">
        <v>71.44</v>
      </c>
      <c r="E869" s="16">
        <f t="shared" si="26"/>
        <v>42.864</v>
      </c>
      <c r="F869" s="14">
        <v>2.5</v>
      </c>
      <c r="G869" s="14"/>
      <c r="H869" s="16">
        <f t="shared" si="27"/>
        <v>45.364</v>
      </c>
      <c r="I869" s="14">
        <v>38</v>
      </c>
    </row>
    <row r="870" ht="24" customHeight="1" spans="1:9">
      <c r="A870" s="14" t="str">
        <f>"15116013319"</f>
        <v>15116013319</v>
      </c>
      <c r="B870" s="15" t="s">
        <v>29</v>
      </c>
      <c r="C870" s="14" t="s">
        <v>11</v>
      </c>
      <c r="D870" s="16">
        <v>75.12</v>
      </c>
      <c r="E870" s="16">
        <f t="shared" si="26"/>
        <v>45.072</v>
      </c>
      <c r="F870" s="14"/>
      <c r="G870" s="14"/>
      <c r="H870" s="16">
        <f t="shared" si="27"/>
        <v>45.072</v>
      </c>
      <c r="I870" s="14">
        <v>39</v>
      </c>
    </row>
    <row r="871" ht="24" customHeight="1" spans="1:9">
      <c r="A871" s="14" t="str">
        <f>"15116013321"</f>
        <v>15116013321</v>
      </c>
      <c r="B871" s="15" t="s">
        <v>29</v>
      </c>
      <c r="C871" s="14" t="s">
        <v>11</v>
      </c>
      <c r="D871" s="16">
        <v>75.12</v>
      </c>
      <c r="E871" s="16">
        <f t="shared" si="26"/>
        <v>45.072</v>
      </c>
      <c r="F871" s="14"/>
      <c r="G871" s="14"/>
      <c r="H871" s="16">
        <f t="shared" si="27"/>
        <v>45.072</v>
      </c>
      <c r="I871" s="14">
        <v>40</v>
      </c>
    </row>
    <row r="872" ht="24" customHeight="1" spans="1:9">
      <c r="A872" s="14" t="str">
        <f>"15116013229"</f>
        <v>15116013229</v>
      </c>
      <c r="B872" s="15" t="s">
        <v>29</v>
      </c>
      <c r="C872" s="14" t="s">
        <v>11</v>
      </c>
      <c r="D872" s="16">
        <v>74.96</v>
      </c>
      <c r="E872" s="16">
        <f t="shared" si="26"/>
        <v>44.976</v>
      </c>
      <c r="F872" s="14"/>
      <c r="G872" s="14"/>
      <c r="H872" s="16">
        <f t="shared" si="27"/>
        <v>44.976</v>
      </c>
      <c r="I872" s="14">
        <v>41</v>
      </c>
    </row>
    <row r="873" ht="24" customHeight="1" spans="1:9">
      <c r="A873" s="14" t="str">
        <f>"15116013421"</f>
        <v>15116013421</v>
      </c>
      <c r="B873" s="15" t="s">
        <v>29</v>
      </c>
      <c r="C873" s="14" t="s">
        <v>11</v>
      </c>
      <c r="D873" s="16">
        <v>74.96</v>
      </c>
      <c r="E873" s="16">
        <f t="shared" si="26"/>
        <v>44.976</v>
      </c>
      <c r="F873" s="14"/>
      <c r="G873" s="14"/>
      <c r="H873" s="16">
        <f t="shared" si="27"/>
        <v>44.976</v>
      </c>
      <c r="I873" s="14">
        <v>42</v>
      </c>
    </row>
    <row r="874" ht="24" customHeight="1" spans="1:9">
      <c r="A874" s="14" t="str">
        <f>"15116013317"</f>
        <v>15116013317</v>
      </c>
      <c r="B874" s="15" t="s">
        <v>29</v>
      </c>
      <c r="C874" s="14" t="s">
        <v>11</v>
      </c>
      <c r="D874" s="16">
        <v>74.2</v>
      </c>
      <c r="E874" s="16">
        <f t="shared" si="26"/>
        <v>44.52</v>
      </c>
      <c r="F874" s="14"/>
      <c r="G874" s="14"/>
      <c r="H874" s="16">
        <f t="shared" si="27"/>
        <v>44.52</v>
      </c>
      <c r="I874" s="14">
        <v>43</v>
      </c>
    </row>
    <row r="875" ht="24" customHeight="1" spans="1:9">
      <c r="A875" s="14" t="str">
        <f>"15116013420"</f>
        <v>15116013420</v>
      </c>
      <c r="B875" s="15" t="s">
        <v>29</v>
      </c>
      <c r="C875" s="14" t="s">
        <v>11</v>
      </c>
      <c r="D875" s="16">
        <v>74.2</v>
      </c>
      <c r="E875" s="16">
        <f t="shared" si="26"/>
        <v>44.52</v>
      </c>
      <c r="F875" s="14"/>
      <c r="G875" s="14"/>
      <c r="H875" s="16">
        <f t="shared" si="27"/>
        <v>44.52</v>
      </c>
      <c r="I875" s="14">
        <v>44</v>
      </c>
    </row>
    <row r="876" ht="24" customHeight="1" spans="1:9">
      <c r="A876" s="14" t="str">
        <f>"15116013305"</f>
        <v>15116013305</v>
      </c>
      <c r="B876" s="15" t="s">
        <v>29</v>
      </c>
      <c r="C876" s="14" t="s">
        <v>11</v>
      </c>
      <c r="D876" s="16">
        <v>72.52</v>
      </c>
      <c r="E876" s="16">
        <f t="shared" si="26"/>
        <v>43.512</v>
      </c>
      <c r="F876" s="14"/>
      <c r="G876" s="14"/>
      <c r="H876" s="16">
        <f t="shared" si="27"/>
        <v>43.512</v>
      </c>
      <c r="I876" s="14">
        <v>45</v>
      </c>
    </row>
    <row r="877" ht="24" customHeight="1" spans="1:9">
      <c r="A877" s="14" t="str">
        <f>"15116013316"</f>
        <v>15116013316</v>
      </c>
      <c r="B877" s="15" t="s">
        <v>29</v>
      </c>
      <c r="C877" s="14" t="s">
        <v>11</v>
      </c>
      <c r="D877" s="16">
        <v>71.68</v>
      </c>
      <c r="E877" s="16">
        <f t="shared" si="26"/>
        <v>43.008</v>
      </c>
      <c r="F877" s="14"/>
      <c r="G877" s="14"/>
      <c r="H877" s="16">
        <f t="shared" si="27"/>
        <v>43.008</v>
      </c>
      <c r="I877" s="14">
        <v>46</v>
      </c>
    </row>
    <row r="878" ht="24" customHeight="1" spans="1:9">
      <c r="A878" s="14" t="str">
        <f>"15116013328"</f>
        <v>15116013328</v>
      </c>
      <c r="B878" s="15" t="s">
        <v>29</v>
      </c>
      <c r="C878" s="14" t="s">
        <v>11</v>
      </c>
      <c r="D878" s="16">
        <v>71.68</v>
      </c>
      <c r="E878" s="16">
        <f t="shared" si="26"/>
        <v>43.008</v>
      </c>
      <c r="F878" s="14"/>
      <c r="G878" s="14"/>
      <c r="H878" s="16">
        <f t="shared" si="27"/>
        <v>43.008</v>
      </c>
      <c r="I878" s="14">
        <v>47</v>
      </c>
    </row>
    <row r="879" ht="24" customHeight="1" spans="1:9">
      <c r="A879" s="14" t="str">
        <f>"15116013313"</f>
        <v>15116013313</v>
      </c>
      <c r="B879" s="15" t="s">
        <v>29</v>
      </c>
      <c r="C879" s="14" t="s">
        <v>11</v>
      </c>
      <c r="D879" s="16">
        <v>70.08</v>
      </c>
      <c r="E879" s="16">
        <f t="shared" si="26"/>
        <v>42.048</v>
      </c>
      <c r="F879" s="14"/>
      <c r="G879" s="14"/>
      <c r="H879" s="16">
        <f t="shared" si="27"/>
        <v>42.048</v>
      </c>
      <c r="I879" s="14">
        <v>48</v>
      </c>
    </row>
    <row r="880" ht="24" customHeight="1" spans="1:9">
      <c r="A880" s="14" t="str">
        <f>"15116013225"</f>
        <v>15116013225</v>
      </c>
      <c r="B880" s="15" t="s">
        <v>29</v>
      </c>
      <c r="C880" s="14" t="s">
        <v>11</v>
      </c>
      <c r="D880" s="16">
        <v>69.4</v>
      </c>
      <c r="E880" s="16">
        <f t="shared" si="26"/>
        <v>41.64</v>
      </c>
      <c r="F880" s="14"/>
      <c r="G880" s="14"/>
      <c r="H880" s="16">
        <f t="shared" si="27"/>
        <v>41.64</v>
      </c>
      <c r="I880" s="14">
        <v>49</v>
      </c>
    </row>
    <row r="881" ht="24" customHeight="1" spans="1:9">
      <c r="A881" s="14" t="str">
        <f>"15116013216"</f>
        <v>15116013216</v>
      </c>
      <c r="B881" s="15" t="s">
        <v>29</v>
      </c>
      <c r="C881" s="14" t="s">
        <v>11</v>
      </c>
      <c r="D881" s="16">
        <v>67.48</v>
      </c>
      <c r="E881" s="16">
        <f t="shared" si="26"/>
        <v>40.488</v>
      </c>
      <c r="F881" s="14"/>
      <c r="G881" s="14"/>
      <c r="H881" s="16">
        <f t="shared" si="27"/>
        <v>40.488</v>
      </c>
      <c r="I881" s="14">
        <v>50</v>
      </c>
    </row>
    <row r="882" ht="24" customHeight="1" spans="1:9">
      <c r="A882" s="14" t="str">
        <f>"15116013224"</f>
        <v>15116013224</v>
      </c>
      <c r="B882" s="15" t="s">
        <v>29</v>
      </c>
      <c r="C882" s="14" t="s">
        <v>11</v>
      </c>
      <c r="D882" s="16">
        <v>67.48</v>
      </c>
      <c r="E882" s="16">
        <f t="shared" si="26"/>
        <v>40.488</v>
      </c>
      <c r="F882" s="14"/>
      <c r="G882" s="14"/>
      <c r="H882" s="16">
        <f t="shared" si="27"/>
        <v>40.488</v>
      </c>
      <c r="I882" s="14">
        <v>51</v>
      </c>
    </row>
    <row r="883" ht="24" customHeight="1" spans="1:9">
      <c r="A883" s="14" t="str">
        <f>"15116013309"</f>
        <v>15116013309</v>
      </c>
      <c r="B883" s="15" t="s">
        <v>29</v>
      </c>
      <c r="C883" s="14" t="s">
        <v>11</v>
      </c>
      <c r="D883" s="16">
        <v>67.4</v>
      </c>
      <c r="E883" s="16">
        <f t="shared" si="26"/>
        <v>40.44</v>
      </c>
      <c r="F883" s="14"/>
      <c r="G883" s="14"/>
      <c r="H883" s="16">
        <f t="shared" si="27"/>
        <v>40.44</v>
      </c>
      <c r="I883" s="14">
        <v>52</v>
      </c>
    </row>
    <row r="884" ht="24" customHeight="1" spans="1:9">
      <c r="A884" s="14" t="str">
        <f>"15116013418"</f>
        <v>15116013418</v>
      </c>
      <c r="B884" s="15" t="s">
        <v>29</v>
      </c>
      <c r="C884" s="14" t="s">
        <v>11</v>
      </c>
      <c r="D884" s="16">
        <v>65.8</v>
      </c>
      <c r="E884" s="16">
        <f t="shared" si="26"/>
        <v>39.48</v>
      </c>
      <c r="F884" s="14"/>
      <c r="G884" s="14"/>
      <c r="H884" s="16">
        <f t="shared" si="27"/>
        <v>39.48</v>
      </c>
      <c r="I884" s="14">
        <v>53</v>
      </c>
    </row>
    <row r="885" ht="24" customHeight="1" spans="1:9">
      <c r="A885" s="14" t="str">
        <f>"15116013414"</f>
        <v>15116013414</v>
      </c>
      <c r="B885" s="15" t="s">
        <v>29</v>
      </c>
      <c r="C885" s="14" t="s">
        <v>11</v>
      </c>
      <c r="D885" s="16">
        <v>63.44</v>
      </c>
      <c r="E885" s="16">
        <f t="shared" si="26"/>
        <v>38.064</v>
      </c>
      <c r="F885" s="14"/>
      <c r="G885" s="14"/>
      <c r="H885" s="16">
        <f t="shared" si="27"/>
        <v>38.064</v>
      </c>
      <c r="I885" s="14">
        <v>54</v>
      </c>
    </row>
    <row r="886" ht="24" customHeight="1" spans="1:9">
      <c r="A886" s="14" t="str">
        <f>"15116013406"</f>
        <v>15116013406</v>
      </c>
      <c r="B886" s="15" t="s">
        <v>29</v>
      </c>
      <c r="C886" s="14" t="s">
        <v>11</v>
      </c>
      <c r="D886" s="16">
        <v>63.28</v>
      </c>
      <c r="E886" s="16">
        <f t="shared" si="26"/>
        <v>37.968</v>
      </c>
      <c r="F886" s="14"/>
      <c r="G886" s="14"/>
      <c r="H886" s="16">
        <f t="shared" si="27"/>
        <v>37.968</v>
      </c>
      <c r="I886" s="14">
        <v>55</v>
      </c>
    </row>
    <row r="887" ht="24" customHeight="1" spans="1:9">
      <c r="A887" s="14" t="str">
        <f>"15116013412"</f>
        <v>15116013412</v>
      </c>
      <c r="B887" s="15" t="s">
        <v>29</v>
      </c>
      <c r="C887" s="14" t="s">
        <v>11</v>
      </c>
      <c r="D887" s="16">
        <v>61.68</v>
      </c>
      <c r="E887" s="16">
        <f t="shared" si="26"/>
        <v>37.008</v>
      </c>
      <c r="F887" s="14"/>
      <c r="G887" s="14"/>
      <c r="H887" s="16">
        <f t="shared" si="27"/>
        <v>37.008</v>
      </c>
      <c r="I887" s="14">
        <v>56</v>
      </c>
    </row>
    <row r="888" ht="24" customHeight="1" spans="1:9">
      <c r="A888" s="14" t="str">
        <f>"15116013223"</f>
        <v>15116013223</v>
      </c>
      <c r="B888" s="15" t="s">
        <v>29</v>
      </c>
      <c r="C888" s="14" t="s">
        <v>11</v>
      </c>
      <c r="D888" s="16">
        <v>61</v>
      </c>
      <c r="E888" s="16">
        <f t="shared" si="26"/>
        <v>36.6</v>
      </c>
      <c r="F888" s="14"/>
      <c r="G888" s="14"/>
      <c r="H888" s="16">
        <f t="shared" si="27"/>
        <v>36.6</v>
      </c>
      <c r="I888" s="14">
        <v>57</v>
      </c>
    </row>
    <row r="889" ht="24" customHeight="1" spans="1:9">
      <c r="A889" s="14" t="str">
        <f>"15116013417"</f>
        <v>15116013417</v>
      </c>
      <c r="B889" s="15" t="s">
        <v>29</v>
      </c>
      <c r="C889" s="14" t="s">
        <v>11</v>
      </c>
      <c r="D889" s="16">
        <v>59.92</v>
      </c>
      <c r="E889" s="16">
        <f t="shared" si="26"/>
        <v>35.952</v>
      </c>
      <c r="F889" s="14"/>
      <c r="G889" s="14"/>
      <c r="H889" s="16">
        <f t="shared" si="27"/>
        <v>35.952</v>
      </c>
      <c r="I889" s="14">
        <v>58</v>
      </c>
    </row>
    <row r="890" ht="24" customHeight="1" spans="1:9">
      <c r="A890" s="14" t="str">
        <f>"15116013302"</f>
        <v>15116013302</v>
      </c>
      <c r="B890" s="15" t="s">
        <v>29</v>
      </c>
      <c r="C890" s="14" t="s">
        <v>12</v>
      </c>
      <c r="D890" s="16">
        <v>49.16</v>
      </c>
      <c r="E890" s="16">
        <f t="shared" si="26"/>
        <v>29.496</v>
      </c>
      <c r="F890" s="14">
        <v>2.5</v>
      </c>
      <c r="G890" s="14"/>
      <c r="H890" s="16">
        <f t="shared" si="27"/>
        <v>31.996</v>
      </c>
      <c r="I890" s="14">
        <v>59</v>
      </c>
    </row>
    <row r="891" ht="24" customHeight="1" spans="1:9">
      <c r="A891" s="14" t="str">
        <f>"15116013330"</f>
        <v>15116013330</v>
      </c>
      <c r="B891" s="15" t="s">
        <v>29</v>
      </c>
      <c r="C891" s="14" t="s">
        <v>11</v>
      </c>
      <c r="D891" s="16">
        <v>53.28</v>
      </c>
      <c r="E891" s="16">
        <f t="shared" si="26"/>
        <v>31.968</v>
      </c>
      <c r="F891" s="14"/>
      <c r="G891" s="14"/>
      <c r="H891" s="16">
        <f t="shared" si="27"/>
        <v>31.968</v>
      </c>
      <c r="I891" s="14">
        <v>60</v>
      </c>
    </row>
    <row r="892" ht="24" customHeight="1" spans="1:9">
      <c r="A892" s="14" t="str">
        <f>"15116013220"</f>
        <v>15116013220</v>
      </c>
      <c r="B892" s="15" t="s">
        <v>29</v>
      </c>
      <c r="C892" s="14" t="s">
        <v>12</v>
      </c>
      <c r="D892" s="16">
        <v>-1</v>
      </c>
      <c r="E892" s="16">
        <f t="shared" si="26"/>
        <v>-0.6</v>
      </c>
      <c r="F892" s="14">
        <v>2.5</v>
      </c>
      <c r="G892" s="14"/>
      <c r="H892" s="16">
        <f t="shared" si="27"/>
        <v>1.9</v>
      </c>
      <c r="I892" s="14">
        <v>61</v>
      </c>
    </row>
    <row r="893" ht="24" customHeight="1" spans="1:9">
      <c r="A893" s="14" t="str">
        <f>"15116013407"</f>
        <v>15116013407</v>
      </c>
      <c r="B893" s="15" t="s">
        <v>29</v>
      </c>
      <c r="C893" s="14" t="s">
        <v>12</v>
      </c>
      <c r="D893" s="16">
        <v>-1</v>
      </c>
      <c r="E893" s="16">
        <f t="shared" si="26"/>
        <v>-0.6</v>
      </c>
      <c r="F893" s="14">
        <v>2.5</v>
      </c>
      <c r="G893" s="14"/>
      <c r="H893" s="16">
        <f t="shared" si="27"/>
        <v>1.9</v>
      </c>
      <c r="I893" s="14">
        <v>62</v>
      </c>
    </row>
    <row r="894" ht="24" customHeight="1" spans="1:9">
      <c r="A894" s="14" t="str">
        <f>"15116013222"</f>
        <v>15116013222</v>
      </c>
      <c r="B894" s="15" t="s">
        <v>29</v>
      </c>
      <c r="C894" s="14" t="s">
        <v>11</v>
      </c>
      <c r="D894" s="16">
        <v>-1</v>
      </c>
      <c r="E894" s="16">
        <f t="shared" si="26"/>
        <v>-0.6</v>
      </c>
      <c r="F894" s="14"/>
      <c r="G894" s="14"/>
      <c r="H894" s="16">
        <f t="shared" si="27"/>
        <v>-0.6</v>
      </c>
      <c r="I894" s="14">
        <v>63</v>
      </c>
    </row>
    <row r="895" ht="24" customHeight="1" spans="1:9">
      <c r="A895" s="14" t="str">
        <f>"15116013230"</f>
        <v>15116013230</v>
      </c>
      <c r="B895" s="15" t="s">
        <v>29</v>
      </c>
      <c r="C895" s="14" t="s">
        <v>11</v>
      </c>
      <c r="D895" s="16">
        <v>-1</v>
      </c>
      <c r="E895" s="16">
        <f t="shared" si="26"/>
        <v>-0.6</v>
      </c>
      <c r="F895" s="14"/>
      <c r="G895" s="14"/>
      <c r="H895" s="16">
        <f t="shared" si="27"/>
        <v>-0.6</v>
      </c>
      <c r="I895" s="14">
        <v>64</v>
      </c>
    </row>
    <row r="896" ht="24" customHeight="1" spans="1:9">
      <c r="A896" s="14" t="str">
        <f>"15116013307"</f>
        <v>15116013307</v>
      </c>
      <c r="B896" s="15" t="s">
        <v>29</v>
      </c>
      <c r="C896" s="14" t="s">
        <v>11</v>
      </c>
      <c r="D896" s="16">
        <v>-1</v>
      </c>
      <c r="E896" s="16">
        <f t="shared" si="26"/>
        <v>-0.6</v>
      </c>
      <c r="F896" s="14"/>
      <c r="G896" s="14"/>
      <c r="H896" s="16">
        <f t="shared" si="27"/>
        <v>-0.6</v>
      </c>
      <c r="I896" s="14">
        <v>65</v>
      </c>
    </row>
    <row r="897" ht="24" customHeight="1" spans="1:9">
      <c r="A897" s="14" t="str">
        <f>"15116013311"</f>
        <v>15116013311</v>
      </c>
      <c r="B897" s="15" t="s">
        <v>29</v>
      </c>
      <c r="C897" s="14" t="s">
        <v>11</v>
      </c>
      <c r="D897" s="16">
        <v>-1</v>
      </c>
      <c r="E897" s="16">
        <f t="shared" si="26"/>
        <v>-0.6</v>
      </c>
      <c r="F897" s="14"/>
      <c r="G897" s="14"/>
      <c r="H897" s="16">
        <f t="shared" si="27"/>
        <v>-0.6</v>
      </c>
      <c r="I897" s="14">
        <v>66</v>
      </c>
    </row>
    <row r="898" ht="24" customHeight="1" spans="1:9">
      <c r="A898" s="14" t="str">
        <f>"15116013320"</f>
        <v>15116013320</v>
      </c>
      <c r="B898" s="15" t="s">
        <v>29</v>
      </c>
      <c r="C898" s="14" t="s">
        <v>11</v>
      </c>
      <c r="D898" s="16">
        <v>-1</v>
      </c>
      <c r="E898" s="16">
        <f t="shared" si="26"/>
        <v>-0.6</v>
      </c>
      <c r="F898" s="14"/>
      <c r="G898" s="14"/>
      <c r="H898" s="16">
        <f t="shared" si="27"/>
        <v>-0.6</v>
      </c>
      <c r="I898" s="14">
        <v>67</v>
      </c>
    </row>
    <row r="899" ht="24" customHeight="1" spans="1:9">
      <c r="A899" s="14" t="str">
        <f>"15116013416"</f>
        <v>15116013416</v>
      </c>
      <c r="B899" s="15" t="s">
        <v>29</v>
      </c>
      <c r="C899" s="14" t="s">
        <v>11</v>
      </c>
      <c r="D899" s="16">
        <v>-1</v>
      </c>
      <c r="E899" s="16">
        <f t="shared" ref="E899:E962" si="28">D899*0.6</f>
        <v>-0.6</v>
      </c>
      <c r="F899" s="14"/>
      <c r="G899" s="14"/>
      <c r="H899" s="16">
        <f t="shared" ref="H899:H962" si="29">SUM(E899:G899)</f>
        <v>-0.6</v>
      </c>
      <c r="I899" s="14">
        <v>68</v>
      </c>
    </row>
    <row r="900" ht="24" customHeight="1" spans="1:9">
      <c r="A900" s="14" t="str">
        <f>"15116013419"</f>
        <v>15116013419</v>
      </c>
      <c r="B900" s="15" t="s">
        <v>29</v>
      </c>
      <c r="C900" s="14" t="s">
        <v>11</v>
      </c>
      <c r="D900" s="16">
        <v>-1</v>
      </c>
      <c r="E900" s="16">
        <f t="shared" si="28"/>
        <v>-0.6</v>
      </c>
      <c r="F900" s="14"/>
      <c r="G900" s="14"/>
      <c r="H900" s="16">
        <f t="shared" si="29"/>
        <v>-0.6</v>
      </c>
      <c r="I900" s="14">
        <v>69</v>
      </c>
    </row>
    <row r="901" ht="24" customHeight="1" spans="1:9">
      <c r="A901" s="14" t="str">
        <f>"15116013422"</f>
        <v>15116013422</v>
      </c>
      <c r="B901" s="15" t="s">
        <v>29</v>
      </c>
      <c r="C901" s="14" t="s">
        <v>11</v>
      </c>
      <c r="D901" s="16">
        <v>-1</v>
      </c>
      <c r="E901" s="16">
        <f t="shared" si="28"/>
        <v>-0.6</v>
      </c>
      <c r="F901" s="14"/>
      <c r="G901" s="14"/>
      <c r="H901" s="16">
        <f t="shared" si="29"/>
        <v>-0.6</v>
      </c>
      <c r="I901" s="14">
        <v>70</v>
      </c>
    </row>
    <row r="902" ht="24" customHeight="1" spans="1:9">
      <c r="A902" s="11" t="str">
        <f>"15117012317"</f>
        <v>15117012317</v>
      </c>
      <c r="B902" s="12" t="s">
        <v>30</v>
      </c>
      <c r="C902" s="11" t="s">
        <v>11</v>
      </c>
      <c r="D902" s="13">
        <v>76.72</v>
      </c>
      <c r="E902" s="13">
        <f t="shared" si="28"/>
        <v>46.032</v>
      </c>
      <c r="F902" s="11"/>
      <c r="G902" s="11"/>
      <c r="H902" s="13">
        <f t="shared" si="29"/>
        <v>46.032</v>
      </c>
      <c r="I902" s="11">
        <v>1</v>
      </c>
    </row>
    <row r="903" ht="24" customHeight="1" spans="1:9">
      <c r="A903" s="11" t="str">
        <f>"15117012423"</f>
        <v>15117012423</v>
      </c>
      <c r="B903" s="12" t="s">
        <v>30</v>
      </c>
      <c r="C903" s="11" t="s">
        <v>11</v>
      </c>
      <c r="D903" s="13">
        <v>76.72</v>
      </c>
      <c r="E903" s="13">
        <f t="shared" si="28"/>
        <v>46.032</v>
      </c>
      <c r="F903" s="11"/>
      <c r="G903" s="11"/>
      <c r="H903" s="13">
        <f t="shared" si="29"/>
        <v>46.032</v>
      </c>
      <c r="I903" s="11">
        <v>2</v>
      </c>
    </row>
    <row r="904" ht="24" customHeight="1" spans="1:9">
      <c r="A904" s="11" t="str">
        <f>"15117012303"</f>
        <v>15117012303</v>
      </c>
      <c r="B904" s="12" t="s">
        <v>30</v>
      </c>
      <c r="C904" s="11" t="s">
        <v>11</v>
      </c>
      <c r="D904" s="13">
        <v>71.76</v>
      </c>
      <c r="E904" s="13">
        <f t="shared" si="28"/>
        <v>43.056</v>
      </c>
      <c r="F904" s="11"/>
      <c r="G904" s="11"/>
      <c r="H904" s="13">
        <f t="shared" si="29"/>
        <v>43.056</v>
      </c>
      <c r="I904" s="11">
        <v>3</v>
      </c>
    </row>
    <row r="905" ht="24" customHeight="1" spans="1:9">
      <c r="A905" s="14" t="str">
        <f>"15117012412"</f>
        <v>15117012412</v>
      </c>
      <c r="B905" s="15" t="s">
        <v>30</v>
      </c>
      <c r="C905" s="14" t="s">
        <v>12</v>
      </c>
      <c r="D905" s="16">
        <v>67.48</v>
      </c>
      <c r="E905" s="16">
        <f t="shared" si="28"/>
        <v>40.488</v>
      </c>
      <c r="F905" s="14">
        <v>2.5</v>
      </c>
      <c r="G905" s="14"/>
      <c r="H905" s="16">
        <f t="shared" si="29"/>
        <v>42.988</v>
      </c>
      <c r="I905" s="14">
        <v>4</v>
      </c>
    </row>
    <row r="906" ht="24" customHeight="1" spans="1:9">
      <c r="A906" s="14" t="str">
        <f>"15117012201"</f>
        <v>15117012201</v>
      </c>
      <c r="B906" s="15" t="s">
        <v>30</v>
      </c>
      <c r="C906" s="14" t="s">
        <v>11</v>
      </c>
      <c r="D906" s="16">
        <v>70.92</v>
      </c>
      <c r="E906" s="16">
        <f t="shared" si="28"/>
        <v>42.552</v>
      </c>
      <c r="F906" s="14"/>
      <c r="G906" s="14"/>
      <c r="H906" s="16">
        <f t="shared" si="29"/>
        <v>42.552</v>
      </c>
      <c r="I906" s="14">
        <v>5</v>
      </c>
    </row>
    <row r="907" ht="24" customHeight="1" spans="1:9">
      <c r="A907" s="14" t="str">
        <f>"15117012406"</f>
        <v>15117012406</v>
      </c>
      <c r="B907" s="15" t="s">
        <v>30</v>
      </c>
      <c r="C907" s="14" t="s">
        <v>11</v>
      </c>
      <c r="D907" s="16">
        <v>70.92</v>
      </c>
      <c r="E907" s="16">
        <f t="shared" si="28"/>
        <v>42.552</v>
      </c>
      <c r="F907" s="14"/>
      <c r="G907" s="14"/>
      <c r="H907" s="16">
        <f t="shared" si="29"/>
        <v>42.552</v>
      </c>
      <c r="I907" s="14">
        <v>6</v>
      </c>
    </row>
    <row r="908" ht="24" customHeight="1" spans="1:9">
      <c r="A908" s="14" t="str">
        <f>"15117012428"</f>
        <v>15117012428</v>
      </c>
      <c r="B908" s="15" t="s">
        <v>30</v>
      </c>
      <c r="C908" s="14" t="s">
        <v>11</v>
      </c>
      <c r="D908" s="16">
        <v>70.92</v>
      </c>
      <c r="E908" s="16">
        <f t="shared" si="28"/>
        <v>42.552</v>
      </c>
      <c r="F908" s="14"/>
      <c r="G908" s="14"/>
      <c r="H908" s="16">
        <f t="shared" si="29"/>
        <v>42.552</v>
      </c>
      <c r="I908" s="14">
        <v>7</v>
      </c>
    </row>
    <row r="909" ht="24" customHeight="1" spans="1:9">
      <c r="A909" s="14" t="str">
        <f>"15117012407"</f>
        <v>15117012407</v>
      </c>
      <c r="B909" s="15" t="s">
        <v>30</v>
      </c>
      <c r="C909" s="14" t="s">
        <v>11</v>
      </c>
      <c r="D909" s="16">
        <v>70.76</v>
      </c>
      <c r="E909" s="16">
        <f t="shared" si="28"/>
        <v>42.456</v>
      </c>
      <c r="F909" s="14"/>
      <c r="G909" s="14"/>
      <c r="H909" s="16">
        <f t="shared" si="29"/>
        <v>42.456</v>
      </c>
      <c r="I909" s="14">
        <v>8</v>
      </c>
    </row>
    <row r="910" ht="24" customHeight="1" spans="1:9">
      <c r="A910" s="14" t="str">
        <f>"15117012416"</f>
        <v>15117012416</v>
      </c>
      <c r="B910" s="15" t="s">
        <v>30</v>
      </c>
      <c r="C910" s="14" t="s">
        <v>11</v>
      </c>
      <c r="D910" s="16">
        <v>70.76</v>
      </c>
      <c r="E910" s="16">
        <f t="shared" si="28"/>
        <v>42.456</v>
      </c>
      <c r="F910" s="14"/>
      <c r="G910" s="14"/>
      <c r="H910" s="16">
        <f t="shared" si="29"/>
        <v>42.456</v>
      </c>
      <c r="I910" s="14">
        <v>9</v>
      </c>
    </row>
    <row r="911" ht="24" customHeight="1" spans="1:9">
      <c r="A911" s="14" t="str">
        <f>"15117012305"</f>
        <v>15117012305</v>
      </c>
      <c r="B911" s="15" t="s">
        <v>30</v>
      </c>
      <c r="C911" s="14" t="s">
        <v>11</v>
      </c>
      <c r="D911" s="16">
        <v>70.08</v>
      </c>
      <c r="E911" s="16">
        <f t="shared" si="28"/>
        <v>42.048</v>
      </c>
      <c r="F911" s="14"/>
      <c r="G911" s="14"/>
      <c r="H911" s="16">
        <f t="shared" si="29"/>
        <v>42.048</v>
      </c>
      <c r="I911" s="14">
        <v>10</v>
      </c>
    </row>
    <row r="912" ht="24" customHeight="1" spans="1:9">
      <c r="A912" s="14" t="str">
        <f>"15117012411"</f>
        <v>15117012411</v>
      </c>
      <c r="B912" s="15" t="s">
        <v>30</v>
      </c>
      <c r="C912" s="14" t="s">
        <v>11</v>
      </c>
      <c r="D912" s="16">
        <v>70</v>
      </c>
      <c r="E912" s="16">
        <f t="shared" si="28"/>
        <v>42</v>
      </c>
      <c r="F912" s="14"/>
      <c r="G912" s="14"/>
      <c r="H912" s="16">
        <f t="shared" si="29"/>
        <v>42</v>
      </c>
      <c r="I912" s="14">
        <v>11</v>
      </c>
    </row>
    <row r="913" ht="24" customHeight="1" spans="1:9">
      <c r="A913" s="14" t="str">
        <f>"15117012307"</f>
        <v>15117012307</v>
      </c>
      <c r="B913" s="15" t="s">
        <v>30</v>
      </c>
      <c r="C913" s="14" t="s">
        <v>12</v>
      </c>
      <c r="D913" s="16">
        <v>65.8</v>
      </c>
      <c r="E913" s="16">
        <f t="shared" si="28"/>
        <v>39.48</v>
      </c>
      <c r="F913" s="14">
        <v>2.5</v>
      </c>
      <c r="G913" s="14"/>
      <c r="H913" s="16">
        <f t="shared" si="29"/>
        <v>41.98</v>
      </c>
      <c r="I913" s="14">
        <v>12</v>
      </c>
    </row>
    <row r="914" ht="24" customHeight="1" spans="1:9">
      <c r="A914" s="14" t="str">
        <f>"15117012413"</f>
        <v>15117012413</v>
      </c>
      <c r="B914" s="15" t="s">
        <v>30</v>
      </c>
      <c r="C914" s="14" t="s">
        <v>11</v>
      </c>
      <c r="D914" s="16">
        <v>69.24</v>
      </c>
      <c r="E914" s="16">
        <f t="shared" si="28"/>
        <v>41.544</v>
      </c>
      <c r="F914" s="14"/>
      <c r="G914" s="14"/>
      <c r="H914" s="16">
        <f t="shared" si="29"/>
        <v>41.544</v>
      </c>
      <c r="I914" s="14">
        <v>13</v>
      </c>
    </row>
    <row r="915" ht="24" customHeight="1" spans="1:9">
      <c r="A915" s="14" t="str">
        <f>"15117012414"</f>
        <v>15117012414</v>
      </c>
      <c r="B915" s="15" t="s">
        <v>30</v>
      </c>
      <c r="C915" s="14" t="s">
        <v>11</v>
      </c>
      <c r="D915" s="16">
        <v>69.24</v>
      </c>
      <c r="E915" s="16">
        <f t="shared" si="28"/>
        <v>41.544</v>
      </c>
      <c r="F915" s="14"/>
      <c r="G915" s="14"/>
      <c r="H915" s="16">
        <f t="shared" si="29"/>
        <v>41.544</v>
      </c>
      <c r="I915" s="14">
        <v>14</v>
      </c>
    </row>
    <row r="916" ht="24" customHeight="1" spans="1:9">
      <c r="A916" s="14" t="str">
        <f>"15117012427"</f>
        <v>15117012427</v>
      </c>
      <c r="B916" s="15" t="s">
        <v>30</v>
      </c>
      <c r="C916" s="14" t="s">
        <v>11</v>
      </c>
      <c r="D916" s="16">
        <v>69.24</v>
      </c>
      <c r="E916" s="16">
        <f t="shared" si="28"/>
        <v>41.544</v>
      </c>
      <c r="F916" s="14"/>
      <c r="G916" s="14"/>
      <c r="H916" s="16">
        <f t="shared" si="29"/>
        <v>41.544</v>
      </c>
      <c r="I916" s="14">
        <v>15</v>
      </c>
    </row>
    <row r="917" ht="24" customHeight="1" spans="1:9">
      <c r="A917" s="14" t="str">
        <f>"15117012330"</f>
        <v>15117012330</v>
      </c>
      <c r="B917" s="15" t="s">
        <v>30</v>
      </c>
      <c r="C917" s="14" t="s">
        <v>11</v>
      </c>
      <c r="D917" s="16">
        <v>69.16</v>
      </c>
      <c r="E917" s="16">
        <f t="shared" si="28"/>
        <v>41.496</v>
      </c>
      <c r="F917" s="14"/>
      <c r="G917" s="14"/>
      <c r="H917" s="16">
        <f t="shared" si="29"/>
        <v>41.496</v>
      </c>
      <c r="I917" s="14">
        <v>16</v>
      </c>
    </row>
    <row r="918" ht="24" customHeight="1" spans="1:9">
      <c r="A918" s="14" t="str">
        <f>"15117012408"</f>
        <v>15117012408</v>
      </c>
      <c r="B918" s="15" t="s">
        <v>30</v>
      </c>
      <c r="C918" s="14" t="s">
        <v>11</v>
      </c>
      <c r="D918" s="16">
        <v>68.16</v>
      </c>
      <c r="E918" s="16">
        <f t="shared" si="28"/>
        <v>40.896</v>
      </c>
      <c r="F918" s="14"/>
      <c r="G918" s="14"/>
      <c r="H918" s="16">
        <f t="shared" si="29"/>
        <v>40.896</v>
      </c>
      <c r="I918" s="14">
        <v>17</v>
      </c>
    </row>
    <row r="919" ht="24" customHeight="1" spans="1:9">
      <c r="A919" s="14" t="str">
        <f>"15117012325"</f>
        <v>15117012325</v>
      </c>
      <c r="B919" s="15" t="s">
        <v>30</v>
      </c>
      <c r="C919" s="14" t="s">
        <v>11</v>
      </c>
      <c r="D919" s="16">
        <v>67.72</v>
      </c>
      <c r="E919" s="16">
        <f t="shared" si="28"/>
        <v>40.632</v>
      </c>
      <c r="F919" s="14"/>
      <c r="G919" s="14"/>
      <c r="H919" s="16">
        <f t="shared" si="29"/>
        <v>40.632</v>
      </c>
      <c r="I919" s="14">
        <v>18</v>
      </c>
    </row>
    <row r="920" ht="24" customHeight="1" spans="1:9">
      <c r="A920" s="14" t="str">
        <f>"15117012321"</f>
        <v>15117012321</v>
      </c>
      <c r="B920" s="15" t="s">
        <v>30</v>
      </c>
      <c r="C920" s="14" t="s">
        <v>12</v>
      </c>
      <c r="D920" s="16">
        <v>63.44</v>
      </c>
      <c r="E920" s="16">
        <f t="shared" si="28"/>
        <v>38.064</v>
      </c>
      <c r="F920" s="14">
        <v>2.5</v>
      </c>
      <c r="G920" s="14"/>
      <c r="H920" s="16">
        <f t="shared" si="29"/>
        <v>40.564</v>
      </c>
      <c r="I920" s="14">
        <v>19</v>
      </c>
    </row>
    <row r="921" ht="24" customHeight="1" spans="1:9">
      <c r="A921" s="14" t="str">
        <f>"15117012313"</f>
        <v>15117012313</v>
      </c>
      <c r="B921" s="15" t="s">
        <v>30</v>
      </c>
      <c r="C921" s="14" t="s">
        <v>11</v>
      </c>
      <c r="D921" s="16">
        <v>67.48</v>
      </c>
      <c r="E921" s="16">
        <f t="shared" si="28"/>
        <v>40.488</v>
      </c>
      <c r="F921" s="14"/>
      <c r="G921" s="14"/>
      <c r="H921" s="16">
        <f t="shared" si="29"/>
        <v>40.488</v>
      </c>
      <c r="I921" s="14">
        <v>20</v>
      </c>
    </row>
    <row r="922" ht="24" customHeight="1" spans="1:9">
      <c r="A922" s="14" t="str">
        <f>"15117012310"</f>
        <v>15117012310</v>
      </c>
      <c r="B922" s="15" t="s">
        <v>30</v>
      </c>
      <c r="C922" s="14" t="s">
        <v>11</v>
      </c>
      <c r="D922" s="16">
        <v>67.4</v>
      </c>
      <c r="E922" s="16">
        <f t="shared" si="28"/>
        <v>40.44</v>
      </c>
      <c r="F922" s="14"/>
      <c r="G922" s="14"/>
      <c r="H922" s="16">
        <f t="shared" si="29"/>
        <v>40.44</v>
      </c>
      <c r="I922" s="14">
        <v>21</v>
      </c>
    </row>
    <row r="923" ht="24" customHeight="1" spans="1:9">
      <c r="A923" s="14" t="str">
        <f>"15117012430"</f>
        <v>15117012430</v>
      </c>
      <c r="B923" s="15" t="s">
        <v>30</v>
      </c>
      <c r="C923" s="14" t="s">
        <v>11</v>
      </c>
      <c r="D923" s="16">
        <v>67.4</v>
      </c>
      <c r="E923" s="16">
        <f t="shared" si="28"/>
        <v>40.44</v>
      </c>
      <c r="F923" s="14"/>
      <c r="G923" s="14"/>
      <c r="H923" s="16">
        <f t="shared" si="29"/>
        <v>40.44</v>
      </c>
      <c r="I923" s="14">
        <v>22</v>
      </c>
    </row>
    <row r="924" ht="24" customHeight="1" spans="1:9">
      <c r="A924" s="14" t="str">
        <f>"15117012311"</f>
        <v>15117012311</v>
      </c>
      <c r="B924" s="15" t="s">
        <v>30</v>
      </c>
      <c r="C924" s="14" t="s">
        <v>11</v>
      </c>
      <c r="D924" s="16">
        <v>67.32</v>
      </c>
      <c r="E924" s="16">
        <f t="shared" si="28"/>
        <v>40.392</v>
      </c>
      <c r="F924" s="14"/>
      <c r="G924" s="14"/>
      <c r="H924" s="16">
        <f t="shared" si="29"/>
        <v>40.392</v>
      </c>
      <c r="I924" s="14">
        <v>23</v>
      </c>
    </row>
    <row r="925" ht="24" customHeight="1" spans="1:9">
      <c r="A925" s="14" t="str">
        <f>"15117012309"</f>
        <v>15117012309</v>
      </c>
      <c r="B925" s="15" t="s">
        <v>30</v>
      </c>
      <c r="C925" s="14" t="s">
        <v>11</v>
      </c>
      <c r="D925" s="16">
        <v>66.88</v>
      </c>
      <c r="E925" s="16">
        <f t="shared" si="28"/>
        <v>40.128</v>
      </c>
      <c r="F925" s="14"/>
      <c r="G925" s="14"/>
      <c r="H925" s="16">
        <f t="shared" si="29"/>
        <v>40.128</v>
      </c>
      <c r="I925" s="14">
        <v>24</v>
      </c>
    </row>
    <row r="926" ht="24" customHeight="1" spans="1:9">
      <c r="A926" s="14" t="str">
        <f>"15117012409"</f>
        <v>15117012409</v>
      </c>
      <c r="B926" s="15" t="s">
        <v>30</v>
      </c>
      <c r="C926" s="14" t="s">
        <v>12</v>
      </c>
      <c r="D926" s="16">
        <v>62.52</v>
      </c>
      <c r="E926" s="16">
        <f t="shared" si="28"/>
        <v>37.512</v>
      </c>
      <c r="F926" s="14">
        <v>2.5</v>
      </c>
      <c r="G926" s="14"/>
      <c r="H926" s="16">
        <f t="shared" si="29"/>
        <v>40.012</v>
      </c>
      <c r="I926" s="14">
        <v>25</v>
      </c>
    </row>
    <row r="927" ht="24" customHeight="1" spans="1:9">
      <c r="A927" s="14" t="str">
        <f>"15117012415"</f>
        <v>15117012415</v>
      </c>
      <c r="B927" s="15" t="s">
        <v>30</v>
      </c>
      <c r="C927" s="14" t="s">
        <v>11</v>
      </c>
      <c r="D927" s="16">
        <v>66.56</v>
      </c>
      <c r="E927" s="16">
        <f t="shared" si="28"/>
        <v>39.936</v>
      </c>
      <c r="F927" s="14"/>
      <c r="G927" s="14"/>
      <c r="H927" s="16">
        <f t="shared" si="29"/>
        <v>39.936</v>
      </c>
      <c r="I927" s="14">
        <v>26</v>
      </c>
    </row>
    <row r="928" ht="24" customHeight="1" spans="1:9">
      <c r="A928" s="14" t="str">
        <f>"15117012419"</f>
        <v>15117012419</v>
      </c>
      <c r="B928" s="15" t="s">
        <v>30</v>
      </c>
      <c r="C928" s="14" t="s">
        <v>11</v>
      </c>
      <c r="D928" s="16">
        <v>65.72</v>
      </c>
      <c r="E928" s="16">
        <f t="shared" si="28"/>
        <v>39.432</v>
      </c>
      <c r="F928" s="14"/>
      <c r="G928" s="14"/>
      <c r="H928" s="16">
        <f t="shared" si="29"/>
        <v>39.432</v>
      </c>
      <c r="I928" s="14">
        <v>27</v>
      </c>
    </row>
    <row r="929" ht="24" customHeight="1" spans="1:9">
      <c r="A929" s="14" t="str">
        <f>"15117012422"</f>
        <v>15117012422</v>
      </c>
      <c r="B929" s="15" t="s">
        <v>30</v>
      </c>
      <c r="C929" s="14" t="s">
        <v>11</v>
      </c>
      <c r="D929" s="16">
        <v>65.72</v>
      </c>
      <c r="E929" s="16">
        <f t="shared" si="28"/>
        <v>39.432</v>
      </c>
      <c r="F929" s="14"/>
      <c r="G929" s="14"/>
      <c r="H929" s="16">
        <f t="shared" si="29"/>
        <v>39.432</v>
      </c>
      <c r="I929" s="14">
        <v>28</v>
      </c>
    </row>
    <row r="930" ht="24" customHeight="1" spans="1:9">
      <c r="A930" s="14" t="str">
        <f>"15117012420"</f>
        <v>15117012420</v>
      </c>
      <c r="B930" s="15" t="s">
        <v>30</v>
      </c>
      <c r="C930" s="14" t="s">
        <v>12</v>
      </c>
      <c r="D930" s="16">
        <v>61.52</v>
      </c>
      <c r="E930" s="16">
        <f t="shared" si="28"/>
        <v>36.912</v>
      </c>
      <c r="F930" s="14">
        <v>2.5</v>
      </c>
      <c r="G930" s="14"/>
      <c r="H930" s="16">
        <f t="shared" si="29"/>
        <v>39.412</v>
      </c>
      <c r="I930" s="14">
        <v>29</v>
      </c>
    </row>
    <row r="931" ht="24" customHeight="1" spans="1:9">
      <c r="A931" s="14" t="str">
        <f>"15117012403"</f>
        <v>15117012403</v>
      </c>
      <c r="B931" s="15" t="s">
        <v>30</v>
      </c>
      <c r="C931" s="14" t="s">
        <v>11</v>
      </c>
      <c r="D931" s="16">
        <v>65.2</v>
      </c>
      <c r="E931" s="16">
        <f t="shared" si="28"/>
        <v>39.12</v>
      </c>
      <c r="F931" s="14"/>
      <c r="G931" s="14"/>
      <c r="H931" s="16">
        <f t="shared" si="29"/>
        <v>39.12</v>
      </c>
      <c r="I931" s="14">
        <v>30</v>
      </c>
    </row>
    <row r="932" ht="24" customHeight="1" spans="1:9">
      <c r="A932" s="14" t="str">
        <f>"15117012429"</f>
        <v>15117012429</v>
      </c>
      <c r="B932" s="15" t="s">
        <v>30</v>
      </c>
      <c r="C932" s="14" t="s">
        <v>11</v>
      </c>
      <c r="D932" s="16">
        <v>64.2</v>
      </c>
      <c r="E932" s="16">
        <f t="shared" si="28"/>
        <v>38.52</v>
      </c>
      <c r="F932" s="14"/>
      <c r="G932" s="14"/>
      <c r="H932" s="16">
        <f t="shared" si="29"/>
        <v>38.52</v>
      </c>
      <c r="I932" s="14">
        <v>31</v>
      </c>
    </row>
    <row r="933" ht="24" customHeight="1" spans="1:9">
      <c r="A933" s="14" t="str">
        <f>"15117012316"</f>
        <v>15117012316</v>
      </c>
      <c r="B933" s="15" t="s">
        <v>30</v>
      </c>
      <c r="C933" s="14" t="s">
        <v>11</v>
      </c>
      <c r="D933" s="16">
        <v>64.12</v>
      </c>
      <c r="E933" s="16">
        <f t="shared" si="28"/>
        <v>38.472</v>
      </c>
      <c r="F933" s="14"/>
      <c r="G933" s="14"/>
      <c r="H933" s="16">
        <f t="shared" si="29"/>
        <v>38.472</v>
      </c>
      <c r="I933" s="14">
        <v>32</v>
      </c>
    </row>
    <row r="934" ht="24" customHeight="1" spans="1:9">
      <c r="A934" s="14" t="str">
        <f>"15117012410"</f>
        <v>15117012410</v>
      </c>
      <c r="B934" s="15" t="s">
        <v>30</v>
      </c>
      <c r="C934" s="14" t="s">
        <v>11</v>
      </c>
      <c r="D934" s="16">
        <v>64.04</v>
      </c>
      <c r="E934" s="16">
        <f t="shared" si="28"/>
        <v>38.424</v>
      </c>
      <c r="F934" s="14"/>
      <c r="G934" s="14"/>
      <c r="H934" s="16">
        <f t="shared" si="29"/>
        <v>38.424</v>
      </c>
      <c r="I934" s="14">
        <v>33</v>
      </c>
    </row>
    <row r="935" ht="24" customHeight="1" spans="1:9">
      <c r="A935" s="14" t="str">
        <f>"15117012327"</f>
        <v>15117012327</v>
      </c>
      <c r="B935" s="15" t="s">
        <v>30</v>
      </c>
      <c r="C935" s="14" t="s">
        <v>12</v>
      </c>
      <c r="D935" s="16">
        <v>59.84</v>
      </c>
      <c r="E935" s="16">
        <f t="shared" si="28"/>
        <v>35.904</v>
      </c>
      <c r="F935" s="14">
        <v>2.5</v>
      </c>
      <c r="G935" s="14"/>
      <c r="H935" s="16">
        <f t="shared" si="29"/>
        <v>38.404</v>
      </c>
      <c r="I935" s="14">
        <v>34</v>
      </c>
    </row>
    <row r="936" ht="24" customHeight="1" spans="1:9">
      <c r="A936" s="14" t="str">
        <f>"15117012425"</f>
        <v>15117012425</v>
      </c>
      <c r="B936" s="15" t="s">
        <v>30</v>
      </c>
      <c r="C936" s="14" t="s">
        <v>11</v>
      </c>
      <c r="D936" s="16">
        <v>63.44</v>
      </c>
      <c r="E936" s="16">
        <f t="shared" si="28"/>
        <v>38.064</v>
      </c>
      <c r="F936" s="14"/>
      <c r="G936" s="14"/>
      <c r="H936" s="16">
        <f t="shared" si="29"/>
        <v>38.064</v>
      </c>
      <c r="I936" s="14">
        <v>35</v>
      </c>
    </row>
    <row r="937" ht="24" customHeight="1" spans="1:9">
      <c r="A937" s="14" t="str">
        <f>"15117012421"</f>
        <v>15117012421</v>
      </c>
      <c r="B937" s="15" t="s">
        <v>30</v>
      </c>
      <c r="C937" s="14" t="s">
        <v>11</v>
      </c>
      <c r="D937" s="16">
        <v>63.2</v>
      </c>
      <c r="E937" s="16">
        <f t="shared" si="28"/>
        <v>37.92</v>
      </c>
      <c r="F937" s="14"/>
      <c r="G937" s="14"/>
      <c r="H937" s="16">
        <f t="shared" si="29"/>
        <v>37.92</v>
      </c>
      <c r="I937" s="14">
        <v>36</v>
      </c>
    </row>
    <row r="938" ht="24" customHeight="1" spans="1:9">
      <c r="A938" s="14" t="str">
        <f>"15117012329"</f>
        <v>15117012329</v>
      </c>
      <c r="B938" s="15" t="s">
        <v>30</v>
      </c>
      <c r="C938" s="14" t="s">
        <v>11</v>
      </c>
      <c r="D938" s="16">
        <v>62.36</v>
      </c>
      <c r="E938" s="16">
        <f t="shared" si="28"/>
        <v>37.416</v>
      </c>
      <c r="F938" s="14"/>
      <c r="G938" s="14"/>
      <c r="H938" s="16">
        <f t="shared" si="29"/>
        <v>37.416</v>
      </c>
      <c r="I938" s="14">
        <v>37</v>
      </c>
    </row>
    <row r="939" ht="24" customHeight="1" spans="1:9">
      <c r="A939" s="14" t="str">
        <f>"15117012402"</f>
        <v>15117012402</v>
      </c>
      <c r="B939" s="15" t="s">
        <v>30</v>
      </c>
      <c r="C939" s="14" t="s">
        <v>11</v>
      </c>
      <c r="D939" s="16">
        <v>62.36</v>
      </c>
      <c r="E939" s="16">
        <f t="shared" si="28"/>
        <v>37.416</v>
      </c>
      <c r="F939" s="14"/>
      <c r="G939" s="14"/>
      <c r="H939" s="16">
        <f t="shared" si="29"/>
        <v>37.416</v>
      </c>
      <c r="I939" s="14">
        <v>38</v>
      </c>
    </row>
    <row r="940" ht="24" customHeight="1" spans="1:9">
      <c r="A940" s="14" t="str">
        <f>"15117012302"</f>
        <v>15117012302</v>
      </c>
      <c r="B940" s="15" t="s">
        <v>30</v>
      </c>
      <c r="C940" s="14" t="s">
        <v>11</v>
      </c>
      <c r="D940" s="16">
        <v>61.68</v>
      </c>
      <c r="E940" s="16">
        <f t="shared" si="28"/>
        <v>37.008</v>
      </c>
      <c r="F940" s="14"/>
      <c r="G940" s="14"/>
      <c r="H940" s="16">
        <f t="shared" si="29"/>
        <v>37.008</v>
      </c>
      <c r="I940" s="14">
        <v>39</v>
      </c>
    </row>
    <row r="941" ht="24" customHeight="1" spans="1:9">
      <c r="A941" s="14" t="str">
        <f>"15117012312"</f>
        <v>15117012312</v>
      </c>
      <c r="B941" s="15" t="s">
        <v>30</v>
      </c>
      <c r="C941" s="14" t="s">
        <v>12</v>
      </c>
      <c r="D941" s="16">
        <v>57.4</v>
      </c>
      <c r="E941" s="16">
        <f t="shared" si="28"/>
        <v>34.44</v>
      </c>
      <c r="F941" s="14">
        <v>2.5</v>
      </c>
      <c r="G941" s="14"/>
      <c r="H941" s="16">
        <f t="shared" si="29"/>
        <v>36.94</v>
      </c>
      <c r="I941" s="14">
        <v>40</v>
      </c>
    </row>
    <row r="942" ht="24" customHeight="1" spans="1:9">
      <c r="A942" s="14" t="str">
        <f>"15117012304"</f>
        <v>15117012304</v>
      </c>
      <c r="B942" s="15" t="s">
        <v>30</v>
      </c>
      <c r="C942" s="14" t="s">
        <v>11</v>
      </c>
      <c r="D942" s="16">
        <v>60.84</v>
      </c>
      <c r="E942" s="16">
        <f t="shared" si="28"/>
        <v>36.504</v>
      </c>
      <c r="F942" s="14"/>
      <c r="G942" s="14"/>
      <c r="H942" s="16">
        <f t="shared" si="29"/>
        <v>36.504</v>
      </c>
      <c r="I942" s="14">
        <v>41</v>
      </c>
    </row>
    <row r="943" ht="24" customHeight="1" spans="1:9">
      <c r="A943" s="14" t="str">
        <f>"15117012323"</f>
        <v>15117012323</v>
      </c>
      <c r="B943" s="15" t="s">
        <v>30</v>
      </c>
      <c r="C943" s="14" t="s">
        <v>11</v>
      </c>
      <c r="D943" s="16">
        <v>60.76</v>
      </c>
      <c r="E943" s="16">
        <f t="shared" si="28"/>
        <v>36.456</v>
      </c>
      <c r="F943" s="14"/>
      <c r="G943" s="14"/>
      <c r="H943" s="16">
        <f t="shared" si="29"/>
        <v>36.456</v>
      </c>
      <c r="I943" s="14">
        <v>42</v>
      </c>
    </row>
    <row r="944" ht="24" customHeight="1" spans="1:9">
      <c r="A944" s="14" t="str">
        <f>"15117012418"</f>
        <v>15117012418</v>
      </c>
      <c r="B944" s="15" t="s">
        <v>30</v>
      </c>
      <c r="C944" s="14" t="s">
        <v>11</v>
      </c>
      <c r="D944" s="16">
        <v>60.76</v>
      </c>
      <c r="E944" s="16">
        <f t="shared" si="28"/>
        <v>36.456</v>
      </c>
      <c r="F944" s="14"/>
      <c r="G944" s="14"/>
      <c r="H944" s="16">
        <f t="shared" si="29"/>
        <v>36.456</v>
      </c>
      <c r="I944" s="14">
        <v>43</v>
      </c>
    </row>
    <row r="945" ht="24" customHeight="1" spans="1:9">
      <c r="A945" s="14" t="str">
        <f>"15117012328"</f>
        <v>15117012328</v>
      </c>
      <c r="B945" s="15" t="s">
        <v>30</v>
      </c>
      <c r="C945" s="14" t="s">
        <v>11</v>
      </c>
      <c r="D945" s="16">
        <v>60.68</v>
      </c>
      <c r="E945" s="16">
        <f t="shared" si="28"/>
        <v>36.408</v>
      </c>
      <c r="F945" s="14"/>
      <c r="G945" s="14"/>
      <c r="H945" s="16">
        <f t="shared" si="29"/>
        <v>36.408</v>
      </c>
      <c r="I945" s="14">
        <v>44</v>
      </c>
    </row>
    <row r="946" ht="24" customHeight="1" spans="1:9">
      <c r="A946" s="14" t="str">
        <f>"15117012319"</f>
        <v>15117012319</v>
      </c>
      <c r="B946" s="15" t="s">
        <v>30</v>
      </c>
      <c r="C946" s="14" t="s">
        <v>11</v>
      </c>
      <c r="D946" s="16">
        <v>60</v>
      </c>
      <c r="E946" s="16">
        <f t="shared" si="28"/>
        <v>36</v>
      </c>
      <c r="F946" s="14"/>
      <c r="G946" s="14"/>
      <c r="H946" s="16">
        <f t="shared" si="29"/>
        <v>36</v>
      </c>
      <c r="I946" s="14">
        <v>45</v>
      </c>
    </row>
    <row r="947" ht="24" customHeight="1" spans="1:9">
      <c r="A947" s="14" t="str">
        <f>"15117012320"</f>
        <v>15117012320</v>
      </c>
      <c r="B947" s="15" t="s">
        <v>30</v>
      </c>
      <c r="C947" s="14" t="s">
        <v>12</v>
      </c>
      <c r="D947" s="16">
        <v>55.72</v>
      </c>
      <c r="E947" s="16">
        <f t="shared" si="28"/>
        <v>33.432</v>
      </c>
      <c r="F947" s="14">
        <v>2.5</v>
      </c>
      <c r="G947" s="14"/>
      <c r="H947" s="16">
        <f t="shared" si="29"/>
        <v>35.932</v>
      </c>
      <c r="I947" s="14">
        <v>46</v>
      </c>
    </row>
    <row r="948" ht="24" customHeight="1" spans="1:9">
      <c r="A948" s="14" t="str">
        <f>"15117012401"</f>
        <v>15117012401</v>
      </c>
      <c r="B948" s="15" t="s">
        <v>30</v>
      </c>
      <c r="C948" s="14" t="s">
        <v>11</v>
      </c>
      <c r="D948" s="16">
        <v>59.24</v>
      </c>
      <c r="E948" s="16">
        <f t="shared" si="28"/>
        <v>35.544</v>
      </c>
      <c r="F948" s="14"/>
      <c r="G948" s="14"/>
      <c r="H948" s="16">
        <f t="shared" si="29"/>
        <v>35.544</v>
      </c>
      <c r="I948" s="14">
        <v>47</v>
      </c>
    </row>
    <row r="949" ht="24" customHeight="1" spans="1:9">
      <c r="A949" s="14" t="str">
        <f>"15117012318"</f>
        <v>15117012318</v>
      </c>
      <c r="B949" s="15" t="s">
        <v>30</v>
      </c>
      <c r="C949" s="14" t="s">
        <v>11</v>
      </c>
      <c r="D949" s="16">
        <v>59.08</v>
      </c>
      <c r="E949" s="16">
        <f t="shared" si="28"/>
        <v>35.448</v>
      </c>
      <c r="F949" s="14"/>
      <c r="G949" s="14"/>
      <c r="H949" s="16">
        <f t="shared" si="29"/>
        <v>35.448</v>
      </c>
      <c r="I949" s="14">
        <v>48</v>
      </c>
    </row>
    <row r="950" ht="24" customHeight="1" spans="1:9">
      <c r="A950" s="14" t="str">
        <f>"15117012301"</f>
        <v>15117012301</v>
      </c>
      <c r="B950" s="15" t="s">
        <v>30</v>
      </c>
      <c r="C950" s="14" t="s">
        <v>11</v>
      </c>
      <c r="D950" s="16">
        <v>58.24</v>
      </c>
      <c r="E950" s="16">
        <f t="shared" si="28"/>
        <v>34.944</v>
      </c>
      <c r="F950" s="14"/>
      <c r="G950" s="14"/>
      <c r="H950" s="16">
        <f t="shared" si="29"/>
        <v>34.944</v>
      </c>
      <c r="I950" s="14">
        <v>49</v>
      </c>
    </row>
    <row r="951" ht="24" customHeight="1" spans="1:9">
      <c r="A951" s="14" t="str">
        <f>"15117012324"</f>
        <v>15117012324</v>
      </c>
      <c r="B951" s="15" t="s">
        <v>30</v>
      </c>
      <c r="C951" s="14" t="s">
        <v>12</v>
      </c>
      <c r="D951" s="16">
        <v>54.04</v>
      </c>
      <c r="E951" s="16">
        <f t="shared" si="28"/>
        <v>32.424</v>
      </c>
      <c r="F951" s="14">
        <v>2.5</v>
      </c>
      <c r="G951" s="14"/>
      <c r="H951" s="16">
        <f t="shared" si="29"/>
        <v>34.924</v>
      </c>
      <c r="I951" s="14">
        <v>50</v>
      </c>
    </row>
    <row r="952" ht="24" customHeight="1" spans="1:9">
      <c r="A952" s="14" t="str">
        <f>"15117012424"</f>
        <v>15117012424</v>
      </c>
      <c r="B952" s="15" t="s">
        <v>30</v>
      </c>
      <c r="C952" s="14" t="s">
        <v>11</v>
      </c>
      <c r="D952" s="16">
        <v>57.48</v>
      </c>
      <c r="E952" s="16">
        <f t="shared" si="28"/>
        <v>34.488</v>
      </c>
      <c r="F952" s="14"/>
      <c r="G952" s="14"/>
      <c r="H952" s="16">
        <f t="shared" si="29"/>
        <v>34.488</v>
      </c>
      <c r="I952" s="14">
        <v>51</v>
      </c>
    </row>
    <row r="953" ht="24" customHeight="1" spans="1:9">
      <c r="A953" s="14" t="str">
        <f>"15117012322"</f>
        <v>15117012322</v>
      </c>
      <c r="B953" s="15" t="s">
        <v>30</v>
      </c>
      <c r="C953" s="14" t="s">
        <v>12</v>
      </c>
      <c r="D953" s="16">
        <v>48.32</v>
      </c>
      <c r="E953" s="16">
        <f t="shared" si="28"/>
        <v>28.992</v>
      </c>
      <c r="F953" s="14">
        <v>2.5</v>
      </c>
      <c r="G953" s="14"/>
      <c r="H953" s="16">
        <f t="shared" si="29"/>
        <v>31.492</v>
      </c>
      <c r="I953" s="14">
        <v>52</v>
      </c>
    </row>
    <row r="954" ht="24" customHeight="1" spans="1:9">
      <c r="A954" s="14" t="str">
        <f>"15117012417"</f>
        <v>15117012417</v>
      </c>
      <c r="B954" s="15" t="s">
        <v>30</v>
      </c>
      <c r="C954" s="14" t="s">
        <v>11</v>
      </c>
      <c r="D954" s="16">
        <v>52.44</v>
      </c>
      <c r="E954" s="16">
        <f t="shared" si="28"/>
        <v>31.464</v>
      </c>
      <c r="F954" s="14"/>
      <c r="G954" s="14"/>
      <c r="H954" s="16">
        <f t="shared" si="29"/>
        <v>31.464</v>
      </c>
      <c r="I954" s="14">
        <v>53</v>
      </c>
    </row>
    <row r="955" ht="24" customHeight="1" spans="1:9">
      <c r="A955" s="14" t="str">
        <f>"15117012405"</f>
        <v>15117012405</v>
      </c>
      <c r="B955" s="15" t="s">
        <v>30</v>
      </c>
      <c r="C955" s="14" t="s">
        <v>11</v>
      </c>
      <c r="D955" s="16">
        <v>49</v>
      </c>
      <c r="E955" s="16">
        <f t="shared" si="28"/>
        <v>29.4</v>
      </c>
      <c r="F955" s="14"/>
      <c r="G955" s="14"/>
      <c r="H955" s="16">
        <f t="shared" si="29"/>
        <v>29.4</v>
      </c>
      <c r="I955" s="14">
        <v>54</v>
      </c>
    </row>
    <row r="956" ht="24" customHeight="1" spans="1:9">
      <c r="A956" s="14" t="str">
        <f>"15117012315"</f>
        <v>15117012315</v>
      </c>
      <c r="B956" s="15" t="s">
        <v>30</v>
      </c>
      <c r="C956" s="14" t="s">
        <v>11</v>
      </c>
      <c r="D956" s="16">
        <v>48.4</v>
      </c>
      <c r="E956" s="16">
        <f t="shared" si="28"/>
        <v>29.04</v>
      </c>
      <c r="F956" s="14"/>
      <c r="G956" s="14"/>
      <c r="H956" s="16">
        <f t="shared" si="29"/>
        <v>29.04</v>
      </c>
      <c r="I956" s="14">
        <v>55</v>
      </c>
    </row>
    <row r="957" ht="24" customHeight="1" spans="1:9">
      <c r="A957" s="14" t="str">
        <f>"15117012404"</f>
        <v>15117012404</v>
      </c>
      <c r="B957" s="15" t="s">
        <v>30</v>
      </c>
      <c r="C957" s="14" t="s">
        <v>12</v>
      </c>
      <c r="D957" s="16">
        <v>-1</v>
      </c>
      <c r="E957" s="16">
        <f t="shared" si="28"/>
        <v>-0.6</v>
      </c>
      <c r="F957" s="14">
        <v>2.5</v>
      </c>
      <c r="G957" s="14"/>
      <c r="H957" s="16">
        <f t="shared" si="29"/>
        <v>1.9</v>
      </c>
      <c r="I957" s="14">
        <v>56</v>
      </c>
    </row>
    <row r="958" ht="24" customHeight="1" spans="1:9">
      <c r="A958" s="14" t="str">
        <f>"15117012306"</f>
        <v>15117012306</v>
      </c>
      <c r="B958" s="15" t="s">
        <v>30</v>
      </c>
      <c r="C958" s="14" t="s">
        <v>11</v>
      </c>
      <c r="D958" s="16">
        <v>-1</v>
      </c>
      <c r="E958" s="16">
        <f t="shared" si="28"/>
        <v>-0.6</v>
      </c>
      <c r="F958" s="14"/>
      <c r="G958" s="14"/>
      <c r="H958" s="16">
        <f t="shared" si="29"/>
        <v>-0.6</v>
      </c>
      <c r="I958" s="14">
        <v>57</v>
      </c>
    </row>
    <row r="959" ht="24" customHeight="1" spans="1:9">
      <c r="A959" s="14" t="str">
        <f>"15117012308"</f>
        <v>15117012308</v>
      </c>
      <c r="B959" s="15" t="s">
        <v>30</v>
      </c>
      <c r="C959" s="14" t="s">
        <v>11</v>
      </c>
      <c r="D959" s="16">
        <v>-1</v>
      </c>
      <c r="E959" s="16">
        <f t="shared" si="28"/>
        <v>-0.6</v>
      </c>
      <c r="F959" s="14"/>
      <c r="G959" s="14"/>
      <c r="H959" s="16">
        <f t="shared" si="29"/>
        <v>-0.6</v>
      </c>
      <c r="I959" s="14">
        <v>58</v>
      </c>
    </row>
    <row r="960" ht="24" customHeight="1" spans="1:9">
      <c r="A960" s="14" t="str">
        <f>"15117012314"</f>
        <v>15117012314</v>
      </c>
      <c r="B960" s="15" t="s">
        <v>30</v>
      </c>
      <c r="C960" s="14" t="s">
        <v>11</v>
      </c>
      <c r="D960" s="16">
        <v>-1</v>
      </c>
      <c r="E960" s="16">
        <f t="shared" si="28"/>
        <v>-0.6</v>
      </c>
      <c r="F960" s="14"/>
      <c r="G960" s="14"/>
      <c r="H960" s="16">
        <f t="shared" si="29"/>
        <v>-0.6</v>
      </c>
      <c r="I960" s="14">
        <v>59</v>
      </c>
    </row>
    <row r="961" ht="24" customHeight="1" spans="1:9">
      <c r="A961" s="14" t="str">
        <f>"15117012326"</f>
        <v>15117012326</v>
      </c>
      <c r="B961" s="15" t="s">
        <v>30</v>
      </c>
      <c r="C961" s="14" t="s">
        <v>11</v>
      </c>
      <c r="D961" s="16">
        <v>-1</v>
      </c>
      <c r="E961" s="16">
        <f t="shared" si="28"/>
        <v>-0.6</v>
      </c>
      <c r="F961" s="14"/>
      <c r="G961" s="14"/>
      <c r="H961" s="16">
        <f t="shared" si="29"/>
        <v>-0.6</v>
      </c>
      <c r="I961" s="14">
        <v>60</v>
      </c>
    </row>
    <row r="962" ht="24" customHeight="1" spans="1:9">
      <c r="A962" s="14" t="str">
        <f>"15117012426"</f>
        <v>15117012426</v>
      </c>
      <c r="B962" s="15" t="s">
        <v>30</v>
      </c>
      <c r="C962" s="14" t="s">
        <v>11</v>
      </c>
      <c r="D962" s="16">
        <v>-1</v>
      </c>
      <c r="E962" s="16">
        <f t="shared" si="28"/>
        <v>-0.6</v>
      </c>
      <c r="F962" s="14"/>
      <c r="G962" s="14"/>
      <c r="H962" s="16">
        <f t="shared" si="29"/>
        <v>-0.6</v>
      </c>
      <c r="I962" s="14">
        <v>61</v>
      </c>
    </row>
    <row r="963" ht="24" customHeight="1" spans="1:9">
      <c r="A963" s="11" t="str">
        <f>"15118012617"</f>
        <v>15118012617</v>
      </c>
      <c r="B963" s="12" t="s">
        <v>31</v>
      </c>
      <c r="C963" s="11" t="s">
        <v>12</v>
      </c>
      <c r="D963" s="13">
        <v>46.4</v>
      </c>
      <c r="E963" s="13">
        <f t="shared" ref="E963:E1026" si="30">D963*0.6</f>
        <v>27.84</v>
      </c>
      <c r="F963" s="11">
        <v>2.5</v>
      </c>
      <c r="G963" s="11"/>
      <c r="H963" s="13">
        <f t="shared" ref="H963:H1026" si="31">SUM(E963:G963)</f>
        <v>30.34</v>
      </c>
      <c r="I963" s="11">
        <v>1</v>
      </c>
    </row>
    <row r="964" ht="24" customHeight="1" spans="1:9">
      <c r="A964" s="11" t="str">
        <f>"15118012620"</f>
        <v>15118012620</v>
      </c>
      <c r="B964" s="12" t="s">
        <v>31</v>
      </c>
      <c r="C964" s="11" t="s">
        <v>11</v>
      </c>
      <c r="D964" s="13">
        <v>45.64</v>
      </c>
      <c r="E964" s="13">
        <f t="shared" si="30"/>
        <v>27.384</v>
      </c>
      <c r="F964" s="11"/>
      <c r="G964" s="11"/>
      <c r="H964" s="13">
        <f t="shared" si="31"/>
        <v>27.384</v>
      </c>
      <c r="I964" s="11">
        <v>2</v>
      </c>
    </row>
    <row r="965" ht="24" customHeight="1" spans="1:9">
      <c r="A965" s="11" t="str">
        <f>"15118012622"</f>
        <v>15118012622</v>
      </c>
      <c r="B965" s="12" t="s">
        <v>31</v>
      </c>
      <c r="C965" s="11" t="s">
        <v>11</v>
      </c>
      <c r="D965" s="13">
        <v>44.8</v>
      </c>
      <c r="E965" s="13">
        <f t="shared" si="30"/>
        <v>26.88</v>
      </c>
      <c r="F965" s="11"/>
      <c r="G965" s="11"/>
      <c r="H965" s="13">
        <f t="shared" si="31"/>
        <v>26.88</v>
      </c>
      <c r="I965" s="11">
        <v>3</v>
      </c>
    </row>
    <row r="966" ht="24" customHeight="1" spans="1:9">
      <c r="A966" s="11" t="str">
        <f>"15118012607"</f>
        <v>15118012607</v>
      </c>
      <c r="B966" s="12" t="s">
        <v>31</v>
      </c>
      <c r="C966" s="11" t="s">
        <v>11</v>
      </c>
      <c r="D966" s="13">
        <v>43.88</v>
      </c>
      <c r="E966" s="13">
        <f t="shared" si="30"/>
        <v>26.328</v>
      </c>
      <c r="F966" s="11"/>
      <c r="G966" s="11"/>
      <c r="H966" s="13">
        <f t="shared" si="31"/>
        <v>26.328</v>
      </c>
      <c r="I966" s="11">
        <v>4</v>
      </c>
    </row>
    <row r="967" ht="24" customHeight="1" spans="1:9">
      <c r="A967" s="11" t="str">
        <f>"15118012612"</f>
        <v>15118012612</v>
      </c>
      <c r="B967" s="12" t="s">
        <v>31</v>
      </c>
      <c r="C967" s="11" t="s">
        <v>12</v>
      </c>
      <c r="D967" s="13">
        <v>39.68</v>
      </c>
      <c r="E967" s="13">
        <f t="shared" si="30"/>
        <v>23.808</v>
      </c>
      <c r="F967" s="11">
        <v>2.5</v>
      </c>
      <c r="G967" s="11"/>
      <c r="H967" s="13">
        <f t="shared" si="31"/>
        <v>26.308</v>
      </c>
      <c r="I967" s="11">
        <v>5</v>
      </c>
    </row>
    <row r="968" ht="24" customHeight="1" spans="1:9">
      <c r="A968" s="11" t="str">
        <f>"15118012701"</f>
        <v>15118012701</v>
      </c>
      <c r="B968" s="12" t="s">
        <v>31</v>
      </c>
      <c r="C968" s="11" t="s">
        <v>11</v>
      </c>
      <c r="D968" s="13">
        <v>43.12</v>
      </c>
      <c r="E968" s="13">
        <f t="shared" si="30"/>
        <v>25.872</v>
      </c>
      <c r="F968" s="11"/>
      <c r="G968" s="11"/>
      <c r="H968" s="13">
        <f t="shared" si="31"/>
        <v>25.872</v>
      </c>
      <c r="I968" s="11">
        <v>6</v>
      </c>
    </row>
    <row r="969" ht="24" customHeight="1" spans="1:9">
      <c r="A969" s="14" t="str">
        <f>"15118012606"</f>
        <v>15118012606</v>
      </c>
      <c r="B969" s="15" t="s">
        <v>31</v>
      </c>
      <c r="C969" s="14" t="s">
        <v>11</v>
      </c>
      <c r="D969" s="16">
        <v>43.04</v>
      </c>
      <c r="E969" s="16">
        <f t="shared" si="30"/>
        <v>25.824</v>
      </c>
      <c r="F969" s="14"/>
      <c r="G969" s="14"/>
      <c r="H969" s="16">
        <f t="shared" si="31"/>
        <v>25.824</v>
      </c>
      <c r="I969" s="14">
        <v>7</v>
      </c>
    </row>
    <row r="970" ht="24" customHeight="1" spans="1:9">
      <c r="A970" s="14" t="str">
        <f>"15118012628"</f>
        <v>15118012628</v>
      </c>
      <c r="B970" s="15" t="s">
        <v>31</v>
      </c>
      <c r="C970" s="14" t="s">
        <v>11</v>
      </c>
      <c r="D970" s="16">
        <v>42.96</v>
      </c>
      <c r="E970" s="16">
        <f t="shared" si="30"/>
        <v>25.776</v>
      </c>
      <c r="F970" s="14"/>
      <c r="G970" s="14"/>
      <c r="H970" s="16">
        <f t="shared" si="31"/>
        <v>25.776</v>
      </c>
      <c r="I970" s="14">
        <v>8</v>
      </c>
    </row>
    <row r="971" ht="24" customHeight="1" spans="1:9">
      <c r="A971" s="14" t="str">
        <f>"15118012614"</f>
        <v>15118012614</v>
      </c>
      <c r="B971" s="15" t="s">
        <v>31</v>
      </c>
      <c r="C971" s="14" t="s">
        <v>11</v>
      </c>
      <c r="D971" s="16">
        <v>42.88</v>
      </c>
      <c r="E971" s="16">
        <f t="shared" si="30"/>
        <v>25.728</v>
      </c>
      <c r="F971" s="14"/>
      <c r="G971" s="14"/>
      <c r="H971" s="16">
        <f t="shared" si="31"/>
        <v>25.728</v>
      </c>
      <c r="I971" s="14">
        <v>9</v>
      </c>
    </row>
    <row r="972" ht="24" customHeight="1" spans="1:9">
      <c r="A972" s="14" t="str">
        <f>"15118012625"</f>
        <v>15118012625</v>
      </c>
      <c r="B972" s="15" t="s">
        <v>31</v>
      </c>
      <c r="C972" s="14" t="s">
        <v>12</v>
      </c>
      <c r="D972" s="16">
        <v>38.16</v>
      </c>
      <c r="E972" s="16">
        <f t="shared" si="30"/>
        <v>22.896</v>
      </c>
      <c r="F972" s="14">
        <v>2.5</v>
      </c>
      <c r="G972" s="14"/>
      <c r="H972" s="16">
        <f t="shared" si="31"/>
        <v>25.396</v>
      </c>
      <c r="I972" s="14">
        <v>10</v>
      </c>
    </row>
    <row r="973" ht="24" customHeight="1" spans="1:9">
      <c r="A973" s="14" t="str">
        <f>"15118012619"</f>
        <v>15118012619</v>
      </c>
      <c r="B973" s="15" t="s">
        <v>31</v>
      </c>
      <c r="C973" s="14" t="s">
        <v>11</v>
      </c>
      <c r="D973" s="16">
        <v>42.2</v>
      </c>
      <c r="E973" s="16">
        <f t="shared" si="30"/>
        <v>25.32</v>
      </c>
      <c r="F973" s="14"/>
      <c r="G973" s="14"/>
      <c r="H973" s="16">
        <f t="shared" si="31"/>
        <v>25.32</v>
      </c>
      <c r="I973" s="14">
        <v>11</v>
      </c>
    </row>
    <row r="974" ht="24" customHeight="1" spans="1:9">
      <c r="A974" s="14" t="str">
        <f>"15118012604"</f>
        <v>15118012604</v>
      </c>
      <c r="B974" s="15" t="s">
        <v>31</v>
      </c>
      <c r="C974" s="14" t="s">
        <v>11</v>
      </c>
      <c r="D974" s="16">
        <v>42.12</v>
      </c>
      <c r="E974" s="16">
        <f t="shared" si="30"/>
        <v>25.272</v>
      </c>
      <c r="F974" s="14"/>
      <c r="G974" s="14"/>
      <c r="H974" s="16">
        <f t="shared" si="31"/>
        <v>25.272</v>
      </c>
      <c r="I974" s="14">
        <v>12</v>
      </c>
    </row>
    <row r="975" ht="24" customHeight="1" spans="1:9">
      <c r="A975" s="14" t="str">
        <f>"15118012630"</f>
        <v>15118012630</v>
      </c>
      <c r="B975" s="15" t="s">
        <v>31</v>
      </c>
      <c r="C975" s="14" t="s">
        <v>11</v>
      </c>
      <c r="D975" s="16">
        <v>42.04</v>
      </c>
      <c r="E975" s="16">
        <f t="shared" si="30"/>
        <v>25.224</v>
      </c>
      <c r="F975" s="14"/>
      <c r="G975" s="14"/>
      <c r="H975" s="16">
        <f t="shared" si="31"/>
        <v>25.224</v>
      </c>
      <c r="I975" s="14">
        <v>13</v>
      </c>
    </row>
    <row r="976" ht="24" customHeight="1" spans="1:9">
      <c r="A976" s="14" t="str">
        <f>"15118012602"</f>
        <v>15118012602</v>
      </c>
      <c r="B976" s="15" t="s">
        <v>31</v>
      </c>
      <c r="C976" s="14" t="s">
        <v>11</v>
      </c>
      <c r="D976" s="16">
        <v>41.44</v>
      </c>
      <c r="E976" s="16">
        <f t="shared" si="30"/>
        <v>24.864</v>
      </c>
      <c r="F976" s="14"/>
      <c r="G976" s="14"/>
      <c r="H976" s="16">
        <f t="shared" si="31"/>
        <v>24.864</v>
      </c>
      <c r="I976" s="14">
        <v>14</v>
      </c>
    </row>
    <row r="977" ht="24" customHeight="1" spans="1:9">
      <c r="A977" s="14" t="str">
        <f>"15118012627"</f>
        <v>15118012627</v>
      </c>
      <c r="B977" s="15" t="s">
        <v>31</v>
      </c>
      <c r="C977" s="14" t="s">
        <v>11</v>
      </c>
      <c r="D977" s="16">
        <v>41.2</v>
      </c>
      <c r="E977" s="16">
        <f t="shared" si="30"/>
        <v>24.72</v>
      </c>
      <c r="F977" s="14"/>
      <c r="G977" s="14"/>
      <c r="H977" s="16">
        <f t="shared" si="31"/>
        <v>24.72</v>
      </c>
      <c r="I977" s="14">
        <v>15</v>
      </c>
    </row>
    <row r="978" ht="24" customHeight="1" spans="1:9">
      <c r="A978" s="14" t="str">
        <f>"15118012610"</f>
        <v>15118012610</v>
      </c>
      <c r="B978" s="15" t="s">
        <v>31</v>
      </c>
      <c r="C978" s="14" t="s">
        <v>11</v>
      </c>
      <c r="D978" s="16">
        <v>40.52</v>
      </c>
      <c r="E978" s="16">
        <f t="shared" si="30"/>
        <v>24.312</v>
      </c>
      <c r="F978" s="14"/>
      <c r="G978" s="14"/>
      <c r="H978" s="16">
        <f t="shared" si="31"/>
        <v>24.312</v>
      </c>
      <c r="I978" s="14">
        <v>16</v>
      </c>
    </row>
    <row r="979" ht="24" customHeight="1" spans="1:9">
      <c r="A979" s="14" t="str">
        <f>"15118012611"</f>
        <v>15118012611</v>
      </c>
      <c r="B979" s="15" t="s">
        <v>31</v>
      </c>
      <c r="C979" s="14" t="s">
        <v>11</v>
      </c>
      <c r="D979" s="16">
        <v>40.52</v>
      </c>
      <c r="E979" s="16">
        <f t="shared" si="30"/>
        <v>24.312</v>
      </c>
      <c r="F979" s="14"/>
      <c r="G979" s="14"/>
      <c r="H979" s="16">
        <f t="shared" si="31"/>
        <v>24.312</v>
      </c>
      <c r="I979" s="14">
        <v>17</v>
      </c>
    </row>
    <row r="980" ht="24" customHeight="1" spans="1:9">
      <c r="A980" s="14" t="str">
        <f>"15118012601"</f>
        <v>15118012601</v>
      </c>
      <c r="B980" s="15" t="s">
        <v>31</v>
      </c>
      <c r="C980" s="14" t="s">
        <v>11</v>
      </c>
      <c r="D980" s="16">
        <v>39.76</v>
      </c>
      <c r="E980" s="16">
        <f t="shared" si="30"/>
        <v>23.856</v>
      </c>
      <c r="F980" s="14"/>
      <c r="G980" s="14"/>
      <c r="H980" s="16">
        <f t="shared" si="31"/>
        <v>23.856</v>
      </c>
      <c r="I980" s="14">
        <v>18</v>
      </c>
    </row>
    <row r="981" ht="24" customHeight="1" spans="1:9">
      <c r="A981" s="14" t="str">
        <f>"15118012616"</f>
        <v>15118012616</v>
      </c>
      <c r="B981" s="15" t="s">
        <v>31</v>
      </c>
      <c r="C981" s="14" t="s">
        <v>11</v>
      </c>
      <c r="D981" s="16">
        <v>39.76</v>
      </c>
      <c r="E981" s="16">
        <f t="shared" si="30"/>
        <v>23.856</v>
      </c>
      <c r="F981" s="14"/>
      <c r="G981" s="14"/>
      <c r="H981" s="16">
        <f t="shared" si="31"/>
        <v>23.856</v>
      </c>
      <c r="I981" s="14">
        <v>19</v>
      </c>
    </row>
    <row r="982" ht="24" customHeight="1" spans="1:9">
      <c r="A982" s="14" t="str">
        <f>"15118012624"</f>
        <v>15118012624</v>
      </c>
      <c r="B982" s="15" t="s">
        <v>31</v>
      </c>
      <c r="C982" s="14" t="s">
        <v>11</v>
      </c>
      <c r="D982" s="16">
        <v>39.68</v>
      </c>
      <c r="E982" s="16">
        <f t="shared" si="30"/>
        <v>23.808</v>
      </c>
      <c r="F982" s="14"/>
      <c r="G982" s="14"/>
      <c r="H982" s="16">
        <f t="shared" si="31"/>
        <v>23.808</v>
      </c>
      <c r="I982" s="14">
        <v>20</v>
      </c>
    </row>
    <row r="983" ht="24" customHeight="1" spans="1:9">
      <c r="A983" s="14" t="str">
        <f>"15118012613"</f>
        <v>15118012613</v>
      </c>
      <c r="B983" s="15" t="s">
        <v>31</v>
      </c>
      <c r="C983" s="14" t="s">
        <v>11</v>
      </c>
      <c r="D983" s="16">
        <v>38</v>
      </c>
      <c r="E983" s="16">
        <f t="shared" si="30"/>
        <v>22.8</v>
      </c>
      <c r="F983" s="14"/>
      <c r="G983" s="14"/>
      <c r="H983" s="16">
        <f t="shared" si="31"/>
        <v>22.8</v>
      </c>
      <c r="I983" s="14">
        <v>21</v>
      </c>
    </row>
    <row r="984" ht="24" customHeight="1" spans="1:9">
      <c r="A984" s="14" t="str">
        <f>"15118012615"</f>
        <v>15118012615</v>
      </c>
      <c r="B984" s="15" t="s">
        <v>31</v>
      </c>
      <c r="C984" s="14" t="s">
        <v>11</v>
      </c>
      <c r="D984" s="16">
        <v>37.16</v>
      </c>
      <c r="E984" s="16">
        <f t="shared" si="30"/>
        <v>22.296</v>
      </c>
      <c r="F984" s="14"/>
      <c r="G984" s="14"/>
      <c r="H984" s="16">
        <f t="shared" si="31"/>
        <v>22.296</v>
      </c>
      <c r="I984" s="14">
        <v>22</v>
      </c>
    </row>
    <row r="985" ht="24" customHeight="1" spans="1:9">
      <c r="A985" s="14" t="str">
        <f>"15118012621"</f>
        <v>15118012621</v>
      </c>
      <c r="B985" s="15" t="s">
        <v>31</v>
      </c>
      <c r="C985" s="14" t="s">
        <v>11</v>
      </c>
      <c r="D985" s="16">
        <v>37.16</v>
      </c>
      <c r="E985" s="16">
        <f t="shared" si="30"/>
        <v>22.296</v>
      </c>
      <c r="F985" s="14"/>
      <c r="G985" s="14"/>
      <c r="H985" s="16">
        <f t="shared" si="31"/>
        <v>22.296</v>
      </c>
      <c r="I985" s="14">
        <v>23</v>
      </c>
    </row>
    <row r="986" ht="24" customHeight="1" spans="1:9">
      <c r="A986" s="14" t="str">
        <f>"15118012629"</f>
        <v>15118012629</v>
      </c>
      <c r="B986" s="15" t="s">
        <v>31</v>
      </c>
      <c r="C986" s="14" t="s">
        <v>11</v>
      </c>
      <c r="D986" s="16">
        <v>35.56</v>
      </c>
      <c r="E986" s="16">
        <f t="shared" si="30"/>
        <v>21.336</v>
      </c>
      <c r="F986" s="14"/>
      <c r="G986" s="14"/>
      <c r="H986" s="16">
        <f t="shared" si="31"/>
        <v>21.336</v>
      </c>
      <c r="I986" s="14">
        <v>24</v>
      </c>
    </row>
    <row r="987" ht="24" customHeight="1" spans="1:9">
      <c r="A987" s="14" t="str">
        <f>"15118012626"</f>
        <v>15118012626</v>
      </c>
      <c r="B987" s="15" t="s">
        <v>31</v>
      </c>
      <c r="C987" s="14" t="s">
        <v>11</v>
      </c>
      <c r="D987" s="16">
        <v>35.48</v>
      </c>
      <c r="E987" s="16">
        <f t="shared" si="30"/>
        <v>21.288</v>
      </c>
      <c r="F987" s="14"/>
      <c r="G987" s="14"/>
      <c r="H987" s="16">
        <f t="shared" si="31"/>
        <v>21.288</v>
      </c>
      <c r="I987" s="14">
        <v>25</v>
      </c>
    </row>
    <row r="988" ht="24" customHeight="1" spans="1:9">
      <c r="A988" s="14" t="str">
        <f>"15118012609"</f>
        <v>15118012609</v>
      </c>
      <c r="B988" s="15" t="s">
        <v>31</v>
      </c>
      <c r="C988" s="14" t="s">
        <v>11</v>
      </c>
      <c r="D988" s="16">
        <v>34.72</v>
      </c>
      <c r="E988" s="16">
        <f t="shared" si="30"/>
        <v>20.832</v>
      </c>
      <c r="F988" s="14"/>
      <c r="G988" s="14"/>
      <c r="H988" s="16">
        <f t="shared" si="31"/>
        <v>20.832</v>
      </c>
      <c r="I988" s="14">
        <v>26</v>
      </c>
    </row>
    <row r="989" ht="24" customHeight="1" spans="1:9">
      <c r="A989" s="14" t="str">
        <f>"15118012623"</f>
        <v>15118012623</v>
      </c>
      <c r="B989" s="15" t="s">
        <v>31</v>
      </c>
      <c r="C989" s="14" t="s">
        <v>11</v>
      </c>
      <c r="D989" s="16">
        <v>34.56</v>
      </c>
      <c r="E989" s="16">
        <f t="shared" si="30"/>
        <v>20.736</v>
      </c>
      <c r="F989" s="14"/>
      <c r="G989" s="14"/>
      <c r="H989" s="16">
        <f t="shared" si="31"/>
        <v>20.736</v>
      </c>
      <c r="I989" s="14">
        <v>27</v>
      </c>
    </row>
    <row r="990" ht="24" customHeight="1" spans="1:9">
      <c r="A990" s="14" t="str">
        <f>"15118012603"</f>
        <v>15118012603</v>
      </c>
      <c r="B990" s="15" t="s">
        <v>31</v>
      </c>
      <c r="C990" s="14" t="s">
        <v>12</v>
      </c>
      <c r="D990" s="16">
        <v>-1</v>
      </c>
      <c r="E990" s="16">
        <f t="shared" si="30"/>
        <v>-0.6</v>
      </c>
      <c r="F990" s="14">
        <v>2.5</v>
      </c>
      <c r="G990" s="14"/>
      <c r="H990" s="16">
        <f t="shared" si="31"/>
        <v>1.9</v>
      </c>
      <c r="I990" s="14">
        <v>28</v>
      </c>
    </row>
    <row r="991" ht="24" customHeight="1" spans="1:9">
      <c r="A991" s="14" t="str">
        <f>"15118012605"</f>
        <v>15118012605</v>
      </c>
      <c r="B991" s="15" t="s">
        <v>31</v>
      </c>
      <c r="C991" s="14" t="s">
        <v>11</v>
      </c>
      <c r="D991" s="16">
        <v>-1</v>
      </c>
      <c r="E991" s="16">
        <f t="shared" si="30"/>
        <v>-0.6</v>
      </c>
      <c r="F991" s="14"/>
      <c r="G991" s="14"/>
      <c r="H991" s="16">
        <f t="shared" si="31"/>
        <v>-0.6</v>
      </c>
      <c r="I991" s="14">
        <v>29</v>
      </c>
    </row>
    <row r="992" ht="24" customHeight="1" spans="1:9">
      <c r="A992" s="14" t="str">
        <f>"15118012608"</f>
        <v>15118012608</v>
      </c>
      <c r="B992" s="15" t="s">
        <v>31</v>
      </c>
      <c r="C992" s="14" t="s">
        <v>11</v>
      </c>
      <c r="D992" s="16">
        <v>-1</v>
      </c>
      <c r="E992" s="16">
        <f t="shared" si="30"/>
        <v>-0.6</v>
      </c>
      <c r="F992" s="14"/>
      <c r="G992" s="14"/>
      <c r="H992" s="16">
        <f t="shared" si="31"/>
        <v>-0.6</v>
      </c>
      <c r="I992" s="14">
        <v>30</v>
      </c>
    </row>
    <row r="993" ht="24" customHeight="1" spans="1:9">
      <c r="A993" s="14" t="str">
        <f>"15118012618"</f>
        <v>15118012618</v>
      </c>
      <c r="B993" s="15" t="s">
        <v>31</v>
      </c>
      <c r="C993" s="14" t="s">
        <v>11</v>
      </c>
      <c r="D993" s="16">
        <v>-1</v>
      </c>
      <c r="E993" s="16">
        <f t="shared" si="30"/>
        <v>-0.6</v>
      </c>
      <c r="F993" s="14"/>
      <c r="G993" s="14"/>
      <c r="H993" s="16">
        <f t="shared" si="31"/>
        <v>-0.6</v>
      </c>
      <c r="I993" s="14">
        <v>31</v>
      </c>
    </row>
    <row r="994" ht="24" customHeight="1" spans="1:9">
      <c r="A994" s="11" t="str">
        <f>"15119012904"</f>
        <v>15119012904</v>
      </c>
      <c r="B994" s="12" t="s">
        <v>32</v>
      </c>
      <c r="C994" s="11" t="s">
        <v>12</v>
      </c>
      <c r="D994" s="13">
        <v>90.07</v>
      </c>
      <c r="E994" s="13">
        <f t="shared" si="30"/>
        <v>54.042</v>
      </c>
      <c r="F994" s="11">
        <v>2.5</v>
      </c>
      <c r="G994" s="11"/>
      <c r="H994" s="13">
        <f t="shared" si="31"/>
        <v>56.542</v>
      </c>
      <c r="I994" s="11">
        <v>1</v>
      </c>
    </row>
    <row r="995" ht="24" customHeight="1" spans="1:9">
      <c r="A995" s="11" t="str">
        <f>"15119012915"</f>
        <v>15119012915</v>
      </c>
      <c r="B995" s="12" t="s">
        <v>32</v>
      </c>
      <c r="C995" s="11" t="s">
        <v>11</v>
      </c>
      <c r="D995" s="13">
        <v>83.63</v>
      </c>
      <c r="E995" s="13">
        <f t="shared" si="30"/>
        <v>50.178</v>
      </c>
      <c r="F995" s="11"/>
      <c r="G995" s="11"/>
      <c r="H995" s="13">
        <f t="shared" si="31"/>
        <v>50.178</v>
      </c>
      <c r="I995" s="11">
        <v>2</v>
      </c>
    </row>
    <row r="996" ht="24" customHeight="1" spans="1:9">
      <c r="A996" s="11" t="str">
        <f>"15119012901"</f>
        <v>15119012901</v>
      </c>
      <c r="B996" s="12" t="s">
        <v>32</v>
      </c>
      <c r="C996" s="11" t="s">
        <v>11</v>
      </c>
      <c r="D996" s="13">
        <v>83.02</v>
      </c>
      <c r="E996" s="13">
        <f t="shared" si="30"/>
        <v>49.812</v>
      </c>
      <c r="F996" s="11"/>
      <c r="G996" s="11"/>
      <c r="H996" s="13">
        <f t="shared" si="31"/>
        <v>49.812</v>
      </c>
      <c r="I996" s="11">
        <v>3</v>
      </c>
    </row>
    <row r="997" ht="24" customHeight="1" spans="1:9">
      <c r="A997" s="11" t="str">
        <f>"15119012908"</f>
        <v>15119012908</v>
      </c>
      <c r="B997" s="12" t="s">
        <v>32</v>
      </c>
      <c r="C997" s="11" t="s">
        <v>11</v>
      </c>
      <c r="D997" s="13">
        <v>83</v>
      </c>
      <c r="E997" s="13">
        <f t="shared" si="30"/>
        <v>49.8</v>
      </c>
      <c r="F997" s="11"/>
      <c r="G997" s="11"/>
      <c r="H997" s="13">
        <f t="shared" si="31"/>
        <v>49.8</v>
      </c>
      <c r="I997" s="11">
        <v>4</v>
      </c>
    </row>
    <row r="998" ht="24" customHeight="1" spans="1:9">
      <c r="A998" s="11" t="str">
        <f>"15119012911"</f>
        <v>15119012911</v>
      </c>
      <c r="B998" s="12" t="s">
        <v>32</v>
      </c>
      <c r="C998" s="11" t="s">
        <v>11</v>
      </c>
      <c r="D998" s="13">
        <v>82.74</v>
      </c>
      <c r="E998" s="13">
        <f t="shared" si="30"/>
        <v>49.644</v>
      </c>
      <c r="F998" s="11"/>
      <c r="G998" s="11"/>
      <c r="H998" s="13">
        <f t="shared" si="31"/>
        <v>49.644</v>
      </c>
      <c r="I998" s="11">
        <v>5</v>
      </c>
    </row>
    <row r="999" ht="24" customHeight="1" spans="1:9">
      <c r="A999" s="11" t="str">
        <f>"15119012907"</f>
        <v>15119012907</v>
      </c>
      <c r="B999" s="12" t="s">
        <v>32</v>
      </c>
      <c r="C999" s="11" t="s">
        <v>12</v>
      </c>
      <c r="D999" s="13">
        <v>77.73</v>
      </c>
      <c r="E999" s="13">
        <f t="shared" si="30"/>
        <v>46.638</v>
      </c>
      <c r="F999" s="11">
        <v>2.5</v>
      </c>
      <c r="G999" s="11"/>
      <c r="H999" s="13">
        <f t="shared" si="31"/>
        <v>49.138</v>
      </c>
      <c r="I999" s="11">
        <v>6</v>
      </c>
    </row>
    <row r="1000" ht="24" customHeight="1" spans="1:9">
      <c r="A1000" s="14" t="str">
        <f>"15119012905"</f>
        <v>15119012905</v>
      </c>
      <c r="B1000" s="15" t="s">
        <v>32</v>
      </c>
      <c r="C1000" s="14" t="s">
        <v>12</v>
      </c>
      <c r="D1000" s="16">
        <v>75.95</v>
      </c>
      <c r="E1000" s="16">
        <f t="shared" si="30"/>
        <v>45.57</v>
      </c>
      <c r="F1000" s="14">
        <v>2.5</v>
      </c>
      <c r="G1000" s="14"/>
      <c r="H1000" s="16">
        <f t="shared" si="31"/>
        <v>48.07</v>
      </c>
      <c r="I1000" s="14">
        <v>7</v>
      </c>
    </row>
    <row r="1001" ht="24" customHeight="1" spans="1:9">
      <c r="A1001" s="14" t="str">
        <f>"15119012903"</f>
        <v>15119012903</v>
      </c>
      <c r="B1001" s="15" t="s">
        <v>32</v>
      </c>
      <c r="C1001" s="14" t="s">
        <v>11</v>
      </c>
      <c r="D1001" s="16">
        <v>78.9</v>
      </c>
      <c r="E1001" s="16">
        <f t="shared" si="30"/>
        <v>47.34</v>
      </c>
      <c r="F1001" s="14"/>
      <c r="G1001" s="14"/>
      <c r="H1001" s="16">
        <f t="shared" si="31"/>
        <v>47.34</v>
      </c>
      <c r="I1001" s="14">
        <v>8</v>
      </c>
    </row>
    <row r="1002" ht="24" customHeight="1" spans="1:9">
      <c r="A1002" s="14" t="str">
        <f>"15119012906"</f>
        <v>15119012906</v>
      </c>
      <c r="B1002" s="15" t="s">
        <v>32</v>
      </c>
      <c r="C1002" s="14" t="s">
        <v>11</v>
      </c>
      <c r="D1002" s="16">
        <v>76.84</v>
      </c>
      <c r="E1002" s="16">
        <f t="shared" si="30"/>
        <v>46.104</v>
      </c>
      <c r="F1002" s="14"/>
      <c r="G1002" s="14"/>
      <c r="H1002" s="16">
        <f t="shared" si="31"/>
        <v>46.104</v>
      </c>
      <c r="I1002" s="14">
        <v>9</v>
      </c>
    </row>
    <row r="1003" ht="24" customHeight="1" spans="1:9">
      <c r="A1003" s="14" t="str">
        <f>"15119012916"</f>
        <v>15119012916</v>
      </c>
      <c r="B1003" s="15" t="s">
        <v>32</v>
      </c>
      <c r="C1003" s="14" t="s">
        <v>11</v>
      </c>
      <c r="D1003" s="16">
        <v>73.96</v>
      </c>
      <c r="E1003" s="16">
        <f t="shared" si="30"/>
        <v>44.376</v>
      </c>
      <c r="F1003" s="14"/>
      <c r="G1003" s="14"/>
      <c r="H1003" s="16">
        <f t="shared" si="31"/>
        <v>44.376</v>
      </c>
      <c r="I1003" s="14">
        <v>10</v>
      </c>
    </row>
    <row r="1004" ht="24" customHeight="1" spans="1:9">
      <c r="A1004" s="14" t="str">
        <f>"15119012910"</f>
        <v>15119012910</v>
      </c>
      <c r="B1004" s="15" t="s">
        <v>32</v>
      </c>
      <c r="C1004" s="14" t="s">
        <v>11</v>
      </c>
      <c r="D1004" s="16">
        <v>59.46</v>
      </c>
      <c r="E1004" s="16">
        <f t="shared" si="30"/>
        <v>35.676</v>
      </c>
      <c r="F1004" s="14"/>
      <c r="G1004" s="14"/>
      <c r="H1004" s="16">
        <f t="shared" si="31"/>
        <v>35.676</v>
      </c>
      <c r="I1004" s="14">
        <v>11</v>
      </c>
    </row>
    <row r="1005" ht="24" customHeight="1" spans="1:9">
      <c r="A1005" s="14" t="str">
        <f>"15119012909"</f>
        <v>15119012909</v>
      </c>
      <c r="B1005" s="15" t="s">
        <v>32</v>
      </c>
      <c r="C1005" s="14" t="s">
        <v>12</v>
      </c>
      <c r="D1005" s="16">
        <v>-1</v>
      </c>
      <c r="E1005" s="16">
        <f t="shared" si="30"/>
        <v>-0.6</v>
      </c>
      <c r="F1005" s="14">
        <v>2.5</v>
      </c>
      <c r="G1005" s="14"/>
      <c r="H1005" s="16">
        <f t="shared" si="31"/>
        <v>1.9</v>
      </c>
      <c r="I1005" s="14">
        <v>12</v>
      </c>
    </row>
    <row r="1006" ht="24" customHeight="1" spans="1:9">
      <c r="A1006" s="14" t="str">
        <f>"15119012902"</f>
        <v>15119012902</v>
      </c>
      <c r="B1006" s="15" t="s">
        <v>32</v>
      </c>
      <c r="C1006" s="14" t="s">
        <v>11</v>
      </c>
      <c r="D1006" s="16">
        <v>-1</v>
      </c>
      <c r="E1006" s="16">
        <f t="shared" si="30"/>
        <v>-0.6</v>
      </c>
      <c r="F1006" s="14"/>
      <c r="G1006" s="14"/>
      <c r="H1006" s="16">
        <f t="shared" si="31"/>
        <v>-0.6</v>
      </c>
      <c r="I1006" s="14">
        <v>13</v>
      </c>
    </row>
    <row r="1007" ht="24" customHeight="1" spans="1:9">
      <c r="A1007" s="14" t="str">
        <f>"15119012912"</f>
        <v>15119012912</v>
      </c>
      <c r="B1007" s="15" t="s">
        <v>32</v>
      </c>
      <c r="C1007" s="14" t="s">
        <v>11</v>
      </c>
      <c r="D1007" s="16">
        <v>-1</v>
      </c>
      <c r="E1007" s="16">
        <f t="shared" si="30"/>
        <v>-0.6</v>
      </c>
      <c r="F1007" s="14"/>
      <c r="G1007" s="14"/>
      <c r="H1007" s="16">
        <f t="shared" si="31"/>
        <v>-0.6</v>
      </c>
      <c r="I1007" s="14">
        <v>14</v>
      </c>
    </row>
    <row r="1008" ht="24" customHeight="1" spans="1:9">
      <c r="A1008" s="14" t="str">
        <f>"15119012913"</f>
        <v>15119012913</v>
      </c>
      <c r="B1008" s="15" t="s">
        <v>32</v>
      </c>
      <c r="C1008" s="14" t="s">
        <v>11</v>
      </c>
      <c r="D1008" s="16">
        <v>-1</v>
      </c>
      <c r="E1008" s="16">
        <f t="shared" si="30"/>
        <v>-0.6</v>
      </c>
      <c r="F1008" s="14"/>
      <c r="G1008" s="14"/>
      <c r="H1008" s="16">
        <f t="shared" si="31"/>
        <v>-0.6</v>
      </c>
      <c r="I1008" s="14">
        <v>15</v>
      </c>
    </row>
    <row r="1009" ht="24" customHeight="1" spans="1:9">
      <c r="A1009" s="14" t="str">
        <f>"15119012914"</f>
        <v>15119012914</v>
      </c>
      <c r="B1009" s="15" t="s">
        <v>32</v>
      </c>
      <c r="C1009" s="14" t="s">
        <v>11</v>
      </c>
      <c r="D1009" s="16">
        <v>-1</v>
      </c>
      <c r="E1009" s="16">
        <f t="shared" si="30"/>
        <v>-0.6</v>
      </c>
      <c r="F1009" s="14"/>
      <c r="G1009" s="14"/>
      <c r="H1009" s="16">
        <f t="shared" si="31"/>
        <v>-0.6</v>
      </c>
      <c r="I1009" s="14">
        <v>16</v>
      </c>
    </row>
    <row r="1010" ht="24" customHeight="1" spans="1:9">
      <c r="A1010" s="11" t="str">
        <f>"15120012923"</f>
        <v>15120012923</v>
      </c>
      <c r="B1010" s="12" t="s">
        <v>33</v>
      </c>
      <c r="C1010" s="11" t="s">
        <v>11</v>
      </c>
      <c r="D1010" s="13">
        <v>87.33</v>
      </c>
      <c r="E1010" s="13">
        <f t="shared" si="30"/>
        <v>52.398</v>
      </c>
      <c r="F1010" s="11"/>
      <c r="G1010" s="11"/>
      <c r="H1010" s="13">
        <f t="shared" si="31"/>
        <v>52.398</v>
      </c>
      <c r="I1010" s="11">
        <v>1</v>
      </c>
    </row>
    <row r="1011" ht="24" customHeight="1" spans="1:9">
      <c r="A1011" s="11" t="str">
        <f>"15120012924"</f>
        <v>15120012924</v>
      </c>
      <c r="B1011" s="12" t="s">
        <v>33</v>
      </c>
      <c r="C1011" s="11" t="s">
        <v>12</v>
      </c>
      <c r="D1011" s="13">
        <v>80.89</v>
      </c>
      <c r="E1011" s="13">
        <f t="shared" si="30"/>
        <v>48.534</v>
      </c>
      <c r="F1011" s="11">
        <v>2.5</v>
      </c>
      <c r="G1011" s="11"/>
      <c r="H1011" s="13">
        <f t="shared" si="31"/>
        <v>51.034</v>
      </c>
      <c r="I1011" s="11">
        <v>2</v>
      </c>
    </row>
    <row r="1012" ht="24" customHeight="1" spans="1:9">
      <c r="A1012" s="11" t="str">
        <f>"15120012922"</f>
        <v>15120012922</v>
      </c>
      <c r="B1012" s="12" t="s">
        <v>33</v>
      </c>
      <c r="C1012" s="11" t="s">
        <v>11</v>
      </c>
      <c r="D1012" s="13">
        <v>82.74</v>
      </c>
      <c r="E1012" s="13">
        <f t="shared" si="30"/>
        <v>49.644</v>
      </c>
      <c r="F1012" s="11"/>
      <c r="G1012" s="11"/>
      <c r="H1012" s="13">
        <f t="shared" si="31"/>
        <v>49.644</v>
      </c>
      <c r="I1012" s="11">
        <v>3</v>
      </c>
    </row>
    <row r="1013" ht="24" customHeight="1" spans="1:9">
      <c r="A1013" s="11" t="str">
        <f>"15120012919"</f>
        <v>15120012919</v>
      </c>
      <c r="B1013" s="12" t="s">
        <v>33</v>
      </c>
      <c r="C1013" s="11" t="s">
        <v>11</v>
      </c>
      <c r="D1013" s="13">
        <v>78.64</v>
      </c>
      <c r="E1013" s="13">
        <f t="shared" si="30"/>
        <v>47.184</v>
      </c>
      <c r="F1013" s="11"/>
      <c r="G1013" s="11"/>
      <c r="H1013" s="13">
        <f t="shared" si="31"/>
        <v>47.184</v>
      </c>
      <c r="I1013" s="11">
        <v>4</v>
      </c>
    </row>
    <row r="1014" ht="24" customHeight="1" spans="1:9">
      <c r="A1014" s="11" t="str">
        <f>"15120012917"</f>
        <v>15120012917</v>
      </c>
      <c r="B1014" s="12" t="s">
        <v>33</v>
      </c>
      <c r="C1014" s="11" t="s">
        <v>11</v>
      </c>
      <c r="D1014" s="13">
        <v>75.83</v>
      </c>
      <c r="E1014" s="13">
        <f t="shared" si="30"/>
        <v>45.498</v>
      </c>
      <c r="F1014" s="11"/>
      <c r="G1014" s="11"/>
      <c r="H1014" s="13">
        <f t="shared" si="31"/>
        <v>45.498</v>
      </c>
      <c r="I1014" s="11">
        <v>5</v>
      </c>
    </row>
    <row r="1015" ht="24" customHeight="1" spans="1:9">
      <c r="A1015" s="11" t="str">
        <f>"15120012926"</f>
        <v>15120012926</v>
      </c>
      <c r="B1015" s="12" t="s">
        <v>33</v>
      </c>
      <c r="C1015" s="11" t="s">
        <v>11</v>
      </c>
      <c r="D1015" s="13">
        <v>75.55</v>
      </c>
      <c r="E1015" s="13">
        <f t="shared" si="30"/>
        <v>45.33</v>
      </c>
      <c r="F1015" s="11"/>
      <c r="G1015" s="11"/>
      <c r="H1015" s="13">
        <f t="shared" si="31"/>
        <v>45.33</v>
      </c>
      <c r="I1015" s="11">
        <v>6</v>
      </c>
    </row>
    <row r="1016" ht="24" customHeight="1" spans="1:9">
      <c r="A1016" s="14" t="str">
        <f>"15120012921"</f>
        <v>15120012921</v>
      </c>
      <c r="B1016" s="15" t="s">
        <v>33</v>
      </c>
      <c r="C1016" s="14" t="s">
        <v>11</v>
      </c>
      <c r="D1016" s="16">
        <v>73.89</v>
      </c>
      <c r="E1016" s="16">
        <f t="shared" si="30"/>
        <v>44.334</v>
      </c>
      <c r="F1016" s="14"/>
      <c r="G1016" s="14"/>
      <c r="H1016" s="16">
        <f t="shared" si="31"/>
        <v>44.334</v>
      </c>
      <c r="I1016" s="14">
        <v>7</v>
      </c>
    </row>
    <row r="1017" ht="24" customHeight="1" spans="1:9">
      <c r="A1017" s="14" t="str">
        <f>"15120012925"</f>
        <v>15120012925</v>
      </c>
      <c r="B1017" s="15" t="s">
        <v>33</v>
      </c>
      <c r="C1017" s="14" t="s">
        <v>12</v>
      </c>
      <c r="D1017" s="16">
        <v>66.58</v>
      </c>
      <c r="E1017" s="16">
        <f t="shared" si="30"/>
        <v>39.948</v>
      </c>
      <c r="F1017" s="14">
        <v>2.5</v>
      </c>
      <c r="G1017" s="14"/>
      <c r="H1017" s="16">
        <f t="shared" si="31"/>
        <v>42.448</v>
      </c>
      <c r="I1017" s="14">
        <v>8</v>
      </c>
    </row>
    <row r="1018" ht="24" customHeight="1" spans="1:9">
      <c r="A1018" s="14" t="str">
        <f>"15120012918"</f>
        <v>15120012918</v>
      </c>
      <c r="B1018" s="15" t="s">
        <v>33</v>
      </c>
      <c r="C1018" s="14" t="s">
        <v>11</v>
      </c>
      <c r="D1018" s="16">
        <v>70.61</v>
      </c>
      <c r="E1018" s="16">
        <f t="shared" si="30"/>
        <v>42.366</v>
      </c>
      <c r="F1018" s="14"/>
      <c r="G1018" s="14"/>
      <c r="H1018" s="16">
        <f t="shared" si="31"/>
        <v>42.366</v>
      </c>
      <c r="I1018" s="14">
        <v>9</v>
      </c>
    </row>
    <row r="1019" ht="24" customHeight="1" spans="1:9">
      <c r="A1019" s="14" t="str">
        <f>"15120012920"</f>
        <v>15120012920</v>
      </c>
      <c r="B1019" s="15" t="s">
        <v>33</v>
      </c>
      <c r="C1019" s="14" t="s">
        <v>11</v>
      </c>
      <c r="D1019" s="16">
        <v>-1</v>
      </c>
      <c r="E1019" s="16">
        <f t="shared" si="30"/>
        <v>-0.6</v>
      </c>
      <c r="F1019" s="14"/>
      <c r="G1019" s="14"/>
      <c r="H1019" s="16">
        <f t="shared" si="31"/>
        <v>-0.6</v>
      </c>
      <c r="I1019" s="14">
        <v>10</v>
      </c>
    </row>
    <row r="1020" ht="24" customHeight="1" spans="1:9">
      <c r="A1020" s="11" t="str">
        <f>"15121014213"</f>
        <v>15121014213</v>
      </c>
      <c r="B1020" s="12" t="s">
        <v>34</v>
      </c>
      <c r="C1020" s="11" t="s">
        <v>12</v>
      </c>
      <c r="D1020" s="13">
        <v>85</v>
      </c>
      <c r="E1020" s="13">
        <f t="shared" si="30"/>
        <v>51</v>
      </c>
      <c r="F1020" s="11">
        <v>2.5</v>
      </c>
      <c r="G1020" s="11"/>
      <c r="H1020" s="13">
        <f t="shared" si="31"/>
        <v>53.5</v>
      </c>
      <c r="I1020" s="11">
        <v>1</v>
      </c>
    </row>
    <row r="1021" ht="24" customHeight="1" spans="1:9">
      <c r="A1021" s="11" t="str">
        <f>"15121014205"</f>
        <v>15121014205</v>
      </c>
      <c r="B1021" s="12" t="s">
        <v>34</v>
      </c>
      <c r="C1021" s="11" t="s">
        <v>12</v>
      </c>
      <c r="D1021" s="13">
        <v>83.8</v>
      </c>
      <c r="E1021" s="13">
        <f t="shared" si="30"/>
        <v>50.28</v>
      </c>
      <c r="F1021" s="11">
        <v>2.5</v>
      </c>
      <c r="G1021" s="11"/>
      <c r="H1021" s="13">
        <f t="shared" si="31"/>
        <v>52.78</v>
      </c>
      <c r="I1021" s="11">
        <v>2</v>
      </c>
    </row>
    <row r="1022" ht="24" customHeight="1" spans="1:9">
      <c r="A1022" s="11" t="str">
        <f>"15121014202"</f>
        <v>15121014202</v>
      </c>
      <c r="B1022" s="12" t="s">
        <v>34</v>
      </c>
      <c r="C1022" s="11" t="s">
        <v>12</v>
      </c>
      <c r="D1022" s="13">
        <v>82.1</v>
      </c>
      <c r="E1022" s="13">
        <f t="shared" si="30"/>
        <v>49.26</v>
      </c>
      <c r="F1022" s="11">
        <v>2.5</v>
      </c>
      <c r="G1022" s="11"/>
      <c r="H1022" s="13">
        <f t="shared" si="31"/>
        <v>51.76</v>
      </c>
      <c r="I1022" s="11">
        <v>3</v>
      </c>
    </row>
    <row r="1023" ht="24" customHeight="1" spans="1:9">
      <c r="A1023" s="14" t="str">
        <f>"15121014210"</f>
        <v>15121014210</v>
      </c>
      <c r="B1023" s="15" t="s">
        <v>34</v>
      </c>
      <c r="C1023" s="14" t="s">
        <v>12</v>
      </c>
      <c r="D1023" s="16">
        <v>80.8</v>
      </c>
      <c r="E1023" s="16">
        <f t="shared" si="30"/>
        <v>48.48</v>
      </c>
      <c r="F1023" s="14">
        <v>2.5</v>
      </c>
      <c r="G1023" s="14"/>
      <c r="H1023" s="16">
        <f t="shared" si="31"/>
        <v>50.98</v>
      </c>
      <c r="I1023" s="14">
        <v>4</v>
      </c>
    </row>
    <row r="1024" ht="24" customHeight="1" spans="1:9">
      <c r="A1024" s="14" t="str">
        <f>"15121014206"</f>
        <v>15121014206</v>
      </c>
      <c r="B1024" s="15" t="s">
        <v>34</v>
      </c>
      <c r="C1024" s="14" t="s">
        <v>12</v>
      </c>
      <c r="D1024" s="16">
        <v>79.6</v>
      </c>
      <c r="E1024" s="16">
        <f t="shared" si="30"/>
        <v>47.76</v>
      </c>
      <c r="F1024" s="14">
        <v>2.5</v>
      </c>
      <c r="G1024" s="14"/>
      <c r="H1024" s="16">
        <f t="shared" si="31"/>
        <v>50.26</v>
      </c>
      <c r="I1024" s="14">
        <v>5</v>
      </c>
    </row>
    <row r="1025" ht="24" customHeight="1" spans="1:9">
      <c r="A1025" s="14" t="str">
        <f>"15121014207"</f>
        <v>15121014207</v>
      </c>
      <c r="B1025" s="15" t="s">
        <v>34</v>
      </c>
      <c r="C1025" s="14" t="s">
        <v>12</v>
      </c>
      <c r="D1025" s="16">
        <v>79.2</v>
      </c>
      <c r="E1025" s="16">
        <f t="shared" si="30"/>
        <v>47.52</v>
      </c>
      <c r="F1025" s="14">
        <v>2.5</v>
      </c>
      <c r="G1025" s="14"/>
      <c r="H1025" s="16">
        <f t="shared" si="31"/>
        <v>50.02</v>
      </c>
      <c r="I1025" s="14">
        <v>6</v>
      </c>
    </row>
    <row r="1026" ht="24" customHeight="1" spans="1:9">
      <c r="A1026" s="14" t="str">
        <f>"15121014204"</f>
        <v>15121014204</v>
      </c>
      <c r="B1026" s="15" t="s">
        <v>34</v>
      </c>
      <c r="C1026" s="14" t="s">
        <v>12</v>
      </c>
      <c r="D1026" s="16">
        <v>77.6</v>
      </c>
      <c r="E1026" s="16">
        <f t="shared" si="30"/>
        <v>46.56</v>
      </c>
      <c r="F1026" s="14">
        <v>2.5</v>
      </c>
      <c r="G1026" s="14"/>
      <c r="H1026" s="16">
        <f t="shared" si="31"/>
        <v>49.06</v>
      </c>
      <c r="I1026" s="14">
        <v>7</v>
      </c>
    </row>
    <row r="1027" ht="24" customHeight="1" spans="1:9">
      <c r="A1027" s="14" t="str">
        <f>"15121014215"</f>
        <v>15121014215</v>
      </c>
      <c r="B1027" s="15" t="s">
        <v>34</v>
      </c>
      <c r="C1027" s="14" t="s">
        <v>12</v>
      </c>
      <c r="D1027" s="16">
        <v>77.2</v>
      </c>
      <c r="E1027" s="16">
        <f t="shared" ref="E1027:E1090" si="32">D1027*0.6</f>
        <v>46.32</v>
      </c>
      <c r="F1027" s="14">
        <v>2.5</v>
      </c>
      <c r="G1027" s="14"/>
      <c r="H1027" s="16">
        <f t="shared" ref="H1027:H1090" si="33">SUM(E1027:G1027)</f>
        <v>48.82</v>
      </c>
      <c r="I1027" s="14">
        <v>8</v>
      </c>
    </row>
    <row r="1028" ht="24" customHeight="1" spans="1:9">
      <c r="A1028" s="14" t="str">
        <f>"15121014201"</f>
        <v>15121014201</v>
      </c>
      <c r="B1028" s="15" t="s">
        <v>34</v>
      </c>
      <c r="C1028" s="14" t="s">
        <v>12</v>
      </c>
      <c r="D1028" s="16">
        <v>75.6</v>
      </c>
      <c r="E1028" s="16">
        <f t="shared" si="32"/>
        <v>45.36</v>
      </c>
      <c r="F1028" s="14">
        <v>2.5</v>
      </c>
      <c r="G1028" s="14"/>
      <c r="H1028" s="16">
        <f t="shared" si="33"/>
        <v>47.86</v>
      </c>
      <c r="I1028" s="14">
        <v>9</v>
      </c>
    </row>
    <row r="1029" ht="24" customHeight="1" spans="1:9">
      <c r="A1029" s="14" t="str">
        <f>"15121014203"</f>
        <v>15121014203</v>
      </c>
      <c r="B1029" s="15" t="s">
        <v>34</v>
      </c>
      <c r="C1029" s="14" t="s">
        <v>12</v>
      </c>
      <c r="D1029" s="16">
        <v>74.6</v>
      </c>
      <c r="E1029" s="16">
        <f t="shared" si="32"/>
        <v>44.76</v>
      </c>
      <c r="F1029" s="14">
        <v>2.5</v>
      </c>
      <c r="G1029" s="14"/>
      <c r="H1029" s="16">
        <f t="shared" si="33"/>
        <v>47.26</v>
      </c>
      <c r="I1029" s="14">
        <v>10</v>
      </c>
    </row>
    <row r="1030" ht="24" customHeight="1" spans="1:9">
      <c r="A1030" s="14" t="str">
        <f>"15121014219"</f>
        <v>15121014219</v>
      </c>
      <c r="B1030" s="15" t="s">
        <v>34</v>
      </c>
      <c r="C1030" s="14" t="s">
        <v>12</v>
      </c>
      <c r="D1030" s="16">
        <v>74.6</v>
      </c>
      <c r="E1030" s="16">
        <f t="shared" si="32"/>
        <v>44.76</v>
      </c>
      <c r="F1030" s="14">
        <v>2.5</v>
      </c>
      <c r="G1030" s="14"/>
      <c r="H1030" s="16">
        <f t="shared" si="33"/>
        <v>47.26</v>
      </c>
      <c r="I1030" s="14">
        <v>11</v>
      </c>
    </row>
    <row r="1031" ht="24" customHeight="1" spans="1:9">
      <c r="A1031" s="14" t="str">
        <f>"15121014220"</f>
        <v>15121014220</v>
      </c>
      <c r="B1031" s="15" t="s">
        <v>34</v>
      </c>
      <c r="C1031" s="14" t="s">
        <v>12</v>
      </c>
      <c r="D1031" s="16">
        <v>74.2</v>
      </c>
      <c r="E1031" s="16">
        <f t="shared" si="32"/>
        <v>44.52</v>
      </c>
      <c r="F1031" s="14">
        <v>2.5</v>
      </c>
      <c r="G1031" s="14"/>
      <c r="H1031" s="16">
        <f t="shared" si="33"/>
        <v>47.02</v>
      </c>
      <c r="I1031" s="14">
        <v>12</v>
      </c>
    </row>
    <row r="1032" ht="24" customHeight="1" spans="1:9">
      <c r="A1032" s="14" t="str">
        <f>"15121014217"</f>
        <v>15121014217</v>
      </c>
      <c r="B1032" s="15" t="s">
        <v>34</v>
      </c>
      <c r="C1032" s="14" t="s">
        <v>12</v>
      </c>
      <c r="D1032" s="16">
        <v>73.9</v>
      </c>
      <c r="E1032" s="16">
        <f t="shared" si="32"/>
        <v>44.34</v>
      </c>
      <c r="F1032" s="14">
        <v>2.5</v>
      </c>
      <c r="G1032" s="14"/>
      <c r="H1032" s="16">
        <f t="shared" si="33"/>
        <v>46.84</v>
      </c>
      <c r="I1032" s="14">
        <v>13</v>
      </c>
    </row>
    <row r="1033" ht="24" customHeight="1" spans="1:9">
      <c r="A1033" s="14" t="str">
        <f>"15121014211"</f>
        <v>15121014211</v>
      </c>
      <c r="B1033" s="15" t="s">
        <v>34</v>
      </c>
      <c r="C1033" s="14" t="s">
        <v>12</v>
      </c>
      <c r="D1033" s="16">
        <v>73.4</v>
      </c>
      <c r="E1033" s="16">
        <f t="shared" si="32"/>
        <v>44.04</v>
      </c>
      <c r="F1033" s="14">
        <v>2.5</v>
      </c>
      <c r="G1033" s="14"/>
      <c r="H1033" s="16">
        <f t="shared" si="33"/>
        <v>46.54</v>
      </c>
      <c r="I1033" s="14">
        <v>14</v>
      </c>
    </row>
    <row r="1034" ht="24" customHeight="1" spans="1:9">
      <c r="A1034" s="14" t="str">
        <f>"15121014216"</f>
        <v>15121014216</v>
      </c>
      <c r="B1034" s="15" t="s">
        <v>34</v>
      </c>
      <c r="C1034" s="14" t="s">
        <v>12</v>
      </c>
      <c r="D1034" s="16">
        <v>71.8</v>
      </c>
      <c r="E1034" s="16">
        <f t="shared" si="32"/>
        <v>43.08</v>
      </c>
      <c r="F1034" s="14">
        <v>2.5</v>
      </c>
      <c r="G1034" s="14"/>
      <c r="H1034" s="16">
        <f t="shared" si="33"/>
        <v>45.58</v>
      </c>
      <c r="I1034" s="14">
        <v>15</v>
      </c>
    </row>
    <row r="1035" ht="24" customHeight="1" spans="1:9">
      <c r="A1035" s="14" t="str">
        <f>"15121014208"</f>
        <v>15121014208</v>
      </c>
      <c r="B1035" s="15" t="s">
        <v>34</v>
      </c>
      <c r="C1035" s="14" t="s">
        <v>12</v>
      </c>
      <c r="D1035" s="16">
        <v>71.3</v>
      </c>
      <c r="E1035" s="16">
        <f t="shared" si="32"/>
        <v>42.78</v>
      </c>
      <c r="F1035" s="14">
        <v>2.5</v>
      </c>
      <c r="G1035" s="14"/>
      <c r="H1035" s="16">
        <f t="shared" si="33"/>
        <v>45.28</v>
      </c>
      <c r="I1035" s="14">
        <v>16</v>
      </c>
    </row>
    <row r="1036" ht="24" customHeight="1" spans="1:9">
      <c r="A1036" s="14" t="str">
        <f>"15121014214"</f>
        <v>15121014214</v>
      </c>
      <c r="B1036" s="15" t="s">
        <v>34</v>
      </c>
      <c r="C1036" s="14" t="s">
        <v>12</v>
      </c>
      <c r="D1036" s="16">
        <v>70.3</v>
      </c>
      <c r="E1036" s="16">
        <f t="shared" si="32"/>
        <v>42.18</v>
      </c>
      <c r="F1036" s="14">
        <v>2.5</v>
      </c>
      <c r="G1036" s="14"/>
      <c r="H1036" s="16">
        <f t="shared" si="33"/>
        <v>44.68</v>
      </c>
      <c r="I1036" s="14">
        <v>17</v>
      </c>
    </row>
    <row r="1037" ht="24" customHeight="1" spans="1:9">
      <c r="A1037" s="14" t="str">
        <f>"15121014218"</f>
        <v>15121014218</v>
      </c>
      <c r="B1037" s="15" t="s">
        <v>34</v>
      </c>
      <c r="C1037" s="14" t="s">
        <v>12</v>
      </c>
      <c r="D1037" s="16">
        <v>65.5</v>
      </c>
      <c r="E1037" s="16">
        <f t="shared" si="32"/>
        <v>39.3</v>
      </c>
      <c r="F1037" s="14">
        <v>2.5</v>
      </c>
      <c r="G1037" s="14"/>
      <c r="H1037" s="16">
        <f t="shared" si="33"/>
        <v>41.8</v>
      </c>
      <c r="I1037" s="14">
        <v>18</v>
      </c>
    </row>
    <row r="1038" ht="24" customHeight="1" spans="1:9">
      <c r="A1038" s="14" t="str">
        <f>"15121014209"</f>
        <v>15121014209</v>
      </c>
      <c r="B1038" s="15" t="s">
        <v>34</v>
      </c>
      <c r="C1038" s="14" t="s">
        <v>12</v>
      </c>
      <c r="D1038" s="16">
        <v>55.1</v>
      </c>
      <c r="E1038" s="16">
        <f t="shared" si="32"/>
        <v>33.06</v>
      </c>
      <c r="F1038" s="14">
        <v>2.5</v>
      </c>
      <c r="G1038" s="14"/>
      <c r="H1038" s="16">
        <f t="shared" si="33"/>
        <v>35.56</v>
      </c>
      <c r="I1038" s="14">
        <v>19</v>
      </c>
    </row>
    <row r="1039" ht="24" customHeight="1" spans="1:9">
      <c r="A1039" s="14" t="str">
        <f>"15121014212"</f>
        <v>15121014212</v>
      </c>
      <c r="B1039" s="15" t="s">
        <v>34</v>
      </c>
      <c r="C1039" s="14" t="s">
        <v>12</v>
      </c>
      <c r="D1039" s="16">
        <v>-1</v>
      </c>
      <c r="E1039" s="16">
        <f t="shared" si="32"/>
        <v>-0.6</v>
      </c>
      <c r="F1039" s="14">
        <v>2.5</v>
      </c>
      <c r="G1039" s="14"/>
      <c r="H1039" s="16">
        <f t="shared" si="33"/>
        <v>1.9</v>
      </c>
      <c r="I1039" s="14">
        <v>20</v>
      </c>
    </row>
    <row r="1040" ht="24" customHeight="1" spans="1:10">
      <c r="A1040" s="17" t="str">
        <f>"15122014402"</f>
        <v>15122014402</v>
      </c>
      <c r="B1040" s="18" t="s">
        <v>35</v>
      </c>
      <c r="C1040" s="17" t="s">
        <v>12</v>
      </c>
      <c r="D1040" s="19">
        <v>73.81</v>
      </c>
      <c r="E1040" s="19">
        <f t="shared" si="32"/>
        <v>44.286</v>
      </c>
      <c r="F1040" s="17">
        <v>2.5</v>
      </c>
      <c r="G1040" s="17"/>
      <c r="H1040" s="19">
        <f t="shared" si="33"/>
        <v>46.786</v>
      </c>
      <c r="I1040" s="17">
        <v>1</v>
      </c>
      <c r="J1040" s="2"/>
    </row>
    <row r="1041" ht="24" customHeight="1" spans="1:10">
      <c r="A1041" s="17" t="str">
        <f>"15122014401"</f>
        <v>15122014401</v>
      </c>
      <c r="B1041" s="18" t="s">
        <v>35</v>
      </c>
      <c r="C1041" s="17" t="s">
        <v>12</v>
      </c>
      <c r="D1041" s="19">
        <v>-1</v>
      </c>
      <c r="E1041" s="19">
        <f t="shared" si="32"/>
        <v>-0.6</v>
      </c>
      <c r="F1041" s="17">
        <v>2.5</v>
      </c>
      <c r="G1041" s="17"/>
      <c r="H1041" s="19">
        <f t="shared" si="33"/>
        <v>1.9</v>
      </c>
      <c r="I1041" s="17">
        <v>2</v>
      </c>
      <c r="J1041" s="2"/>
    </row>
    <row r="1042" ht="24" customHeight="1" spans="1:10">
      <c r="A1042" s="17" t="str">
        <f>"15122014403"</f>
        <v>15122014403</v>
      </c>
      <c r="B1042" s="18" t="s">
        <v>35</v>
      </c>
      <c r="C1042" s="17" t="s">
        <v>12</v>
      </c>
      <c r="D1042" s="19">
        <v>-1</v>
      </c>
      <c r="E1042" s="19">
        <f t="shared" si="32"/>
        <v>-0.6</v>
      </c>
      <c r="F1042" s="17">
        <v>2.5</v>
      </c>
      <c r="G1042" s="17"/>
      <c r="H1042" s="19">
        <f t="shared" si="33"/>
        <v>1.9</v>
      </c>
      <c r="I1042" s="17">
        <v>3</v>
      </c>
      <c r="J1042" s="2" t="s">
        <v>36</v>
      </c>
    </row>
    <row r="1043" ht="24" customHeight="1" spans="1:9">
      <c r="A1043" s="11" t="str">
        <f>"15123014411"</f>
        <v>15123014411</v>
      </c>
      <c r="B1043" s="12" t="s">
        <v>37</v>
      </c>
      <c r="C1043" s="11" t="s">
        <v>12</v>
      </c>
      <c r="D1043" s="13">
        <v>62.43</v>
      </c>
      <c r="E1043" s="13">
        <f t="shared" si="32"/>
        <v>37.458</v>
      </c>
      <c r="F1043" s="11">
        <v>2.5</v>
      </c>
      <c r="G1043" s="11"/>
      <c r="H1043" s="13">
        <f t="shared" si="33"/>
        <v>39.958</v>
      </c>
      <c r="I1043" s="11">
        <v>1</v>
      </c>
    </row>
    <row r="1044" ht="24" customHeight="1" spans="1:9">
      <c r="A1044" s="11" t="str">
        <f>"15123014404"</f>
        <v>15123014404</v>
      </c>
      <c r="B1044" s="12" t="s">
        <v>37</v>
      </c>
      <c r="C1044" s="11" t="s">
        <v>12</v>
      </c>
      <c r="D1044" s="13">
        <v>47.06</v>
      </c>
      <c r="E1044" s="13">
        <f t="shared" si="32"/>
        <v>28.236</v>
      </c>
      <c r="F1044" s="11">
        <v>2.5</v>
      </c>
      <c r="G1044" s="11"/>
      <c r="H1044" s="13">
        <f t="shared" si="33"/>
        <v>30.736</v>
      </c>
      <c r="I1044" s="11">
        <v>2</v>
      </c>
    </row>
    <row r="1045" ht="24" customHeight="1" spans="1:9">
      <c r="A1045" s="11" t="str">
        <f>"15123014408"</f>
        <v>15123014408</v>
      </c>
      <c r="B1045" s="12" t="s">
        <v>37</v>
      </c>
      <c r="C1045" s="11" t="s">
        <v>12</v>
      </c>
      <c r="D1045" s="13">
        <v>42.21</v>
      </c>
      <c r="E1045" s="13">
        <f t="shared" si="32"/>
        <v>25.326</v>
      </c>
      <c r="F1045" s="11">
        <v>2.5</v>
      </c>
      <c r="G1045" s="11"/>
      <c r="H1045" s="13">
        <f t="shared" si="33"/>
        <v>27.826</v>
      </c>
      <c r="I1045" s="11">
        <v>3</v>
      </c>
    </row>
    <row r="1046" ht="24" customHeight="1" spans="1:9">
      <c r="A1046" s="11" t="str">
        <f>"15123014415"</f>
        <v>15123014415</v>
      </c>
      <c r="B1046" s="12" t="s">
        <v>37</v>
      </c>
      <c r="C1046" s="11" t="s">
        <v>12</v>
      </c>
      <c r="D1046" s="13">
        <v>41.54</v>
      </c>
      <c r="E1046" s="13">
        <f t="shared" si="32"/>
        <v>24.924</v>
      </c>
      <c r="F1046" s="11">
        <v>2.5</v>
      </c>
      <c r="G1046" s="11"/>
      <c r="H1046" s="13">
        <f t="shared" si="33"/>
        <v>27.424</v>
      </c>
      <c r="I1046" s="11">
        <v>4</v>
      </c>
    </row>
    <row r="1047" ht="24" customHeight="1" spans="1:9">
      <c r="A1047" s="11" t="str">
        <f>"15123014414"</f>
        <v>15123014414</v>
      </c>
      <c r="B1047" s="12" t="s">
        <v>37</v>
      </c>
      <c r="C1047" s="11" t="s">
        <v>12</v>
      </c>
      <c r="D1047" s="13">
        <v>39.02</v>
      </c>
      <c r="E1047" s="13">
        <f t="shared" si="32"/>
        <v>23.412</v>
      </c>
      <c r="F1047" s="11">
        <v>2.5</v>
      </c>
      <c r="G1047" s="11"/>
      <c r="H1047" s="13">
        <f t="shared" si="33"/>
        <v>25.912</v>
      </c>
      <c r="I1047" s="11">
        <v>5</v>
      </c>
    </row>
    <row r="1048" ht="24" customHeight="1" spans="1:9">
      <c r="A1048" s="11" t="str">
        <f>"15123014406"</f>
        <v>15123014406</v>
      </c>
      <c r="B1048" s="12" t="s">
        <v>37</v>
      </c>
      <c r="C1048" s="11" t="s">
        <v>12</v>
      </c>
      <c r="D1048" s="13">
        <v>38.67</v>
      </c>
      <c r="E1048" s="13">
        <f t="shared" si="32"/>
        <v>23.202</v>
      </c>
      <c r="F1048" s="11">
        <v>2.5</v>
      </c>
      <c r="G1048" s="11"/>
      <c r="H1048" s="13">
        <f t="shared" si="33"/>
        <v>25.702</v>
      </c>
      <c r="I1048" s="11">
        <v>6</v>
      </c>
    </row>
    <row r="1049" ht="24" customHeight="1" spans="1:9">
      <c r="A1049" s="14" t="str">
        <f>"15123014410"</f>
        <v>15123014410</v>
      </c>
      <c r="B1049" s="15" t="s">
        <v>37</v>
      </c>
      <c r="C1049" s="14" t="s">
        <v>12</v>
      </c>
      <c r="D1049" s="16">
        <v>35.46</v>
      </c>
      <c r="E1049" s="16">
        <f t="shared" si="32"/>
        <v>21.276</v>
      </c>
      <c r="F1049" s="14">
        <v>2.5</v>
      </c>
      <c r="G1049" s="14"/>
      <c r="H1049" s="16">
        <f t="shared" si="33"/>
        <v>23.776</v>
      </c>
      <c r="I1049" s="14">
        <v>7</v>
      </c>
    </row>
    <row r="1050" ht="24" customHeight="1" spans="1:9">
      <c r="A1050" s="14" t="str">
        <f>"15123014407"</f>
        <v>15123014407</v>
      </c>
      <c r="B1050" s="15" t="s">
        <v>37</v>
      </c>
      <c r="C1050" s="14" t="s">
        <v>12</v>
      </c>
      <c r="D1050" s="16">
        <v>35.43</v>
      </c>
      <c r="E1050" s="16">
        <f t="shared" si="32"/>
        <v>21.258</v>
      </c>
      <c r="F1050" s="14">
        <v>2.5</v>
      </c>
      <c r="G1050" s="14"/>
      <c r="H1050" s="16">
        <f t="shared" si="33"/>
        <v>23.758</v>
      </c>
      <c r="I1050" s="14">
        <v>8</v>
      </c>
    </row>
    <row r="1051" ht="24" customHeight="1" spans="1:9">
      <c r="A1051" s="14" t="str">
        <f>"15123014412"</f>
        <v>15123014412</v>
      </c>
      <c r="B1051" s="15" t="s">
        <v>37</v>
      </c>
      <c r="C1051" s="14" t="s">
        <v>12</v>
      </c>
      <c r="D1051" s="16">
        <v>34.36</v>
      </c>
      <c r="E1051" s="16">
        <f t="shared" si="32"/>
        <v>20.616</v>
      </c>
      <c r="F1051" s="14">
        <v>2.5</v>
      </c>
      <c r="G1051" s="14"/>
      <c r="H1051" s="16">
        <f t="shared" si="33"/>
        <v>23.116</v>
      </c>
      <c r="I1051" s="14">
        <v>9</v>
      </c>
    </row>
    <row r="1052" ht="24" customHeight="1" spans="1:9">
      <c r="A1052" s="14" t="str">
        <f>"15123014413"</f>
        <v>15123014413</v>
      </c>
      <c r="B1052" s="15" t="s">
        <v>37</v>
      </c>
      <c r="C1052" s="14" t="s">
        <v>12</v>
      </c>
      <c r="D1052" s="16">
        <v>30.71</v>
      </c>
      <c r="E1052" s="16">
        <f t="shared" si="32"/>
        <v>18.426</v>
      </c>
      <c r="F1052" s="14">
        <v>2.5</v>
      </c>
      <c r="G1052" s="14"/>
      <c r="H1052" s="16">
        <f t="shared" si="33"/>
        <v>20.926</v>
      </c>
      <c r="I1052" s="14">
        <v>10</v>
      </c>
    </row>
    <row r="1053" ht="24" customHeight="1" spans="1:9">
      <c r="A1053" s="14" t="str">
        <f>"15123014405"</f>
        <v>15123014405</v>
      </c>
      <c r="B1053" s="15" t="s">
        <v>37</v>
      </c>
      <c r="C1053" s="14" t="s">
        <v>12</v>
      </c>
      <c r="D1053" s="16">
        <v>30.66</v>
      </c>
      <c r="E1053" s="16">
        <f t="shared" si="32"/>
        <v>18.396</v>
      </c>
      <c r="F1053" s="14">
        <v>2.5</v>
      </c>
      <c r="G1053" s="14"/>
      <c r="H1053" s="16">
        <f t="shared" si="33"/>
        <v>20.896</v>
      </c>
      <c r="I1053" s="14">
        <v>11</v>
      </c>
    </row>
    <row r="1054" ht="24" customHeight="1" spans="1:9">
      <c r="A1054" s="14" t="str">
        <f>"15123014409"</f>
        <v>15123014409</v>
      </c>
      <c r="B1054" s="15" t="s">
        <v>37</v>
      </c>
      <c r="C1054" s="14" t="s">
        <v>12</v>
      </c>
      <c r="D1054" s="16">
        <v>24.68</v>
      </c>
      <c r="E1054" s="16">
        <f t="shared" si="32"/>
        <v>14.808</v>
      </c>
      <c r="F1054" s="14">
        <v>2.5</v>
      </c>
      <c r="G1054" s="14"/>
      <c r="H1054" s="16">
        <f t="shared" si="33"/>
        <v>17.308</v>
      </c>
      <c r="I1054" s="14">
        <v>12</v>
      </c>
    </row>
    <row r="1055" ht="24" customHeight="1" spans="1:9">
      <c r="A1055" s="11" t="str">
        <f>"15124014602"</f>
        <v>15124014602</v>
      </c>
      <c r="B1055" s="12" t="s">
        <v>38</v>
      </c>
      <c r="C1055" s="11" t="s">
        <v>12</v>
      </c>
      <c r="D1055" s="13">
        <v>63.82</v>
      </c>
      <c r="E1055" s="13">
        <f t="shared" si="32"/>
        <v>38.292</v>
      </c>
      <c r="F1055" s="11">
        <v>2.5</v>
      </c>
      <c r="G1055" s="11"/>
      <c r="H1055" s="13">
        <f t="shared" si="33"/>
        <v>40.792</v>
      </c>
      <c r="I1055" s="11">
        <v>1</v>
      </c>
    </row>
    <row r="1056" ht="24" customHeight="1" spans="1:9">
      <c r="A1056" s="11" t="str">
        <f>"15124014601"</f>
        <v>15124014601</v>
      </c>
      <c r="B1056" s="12" t="s">
        <v>38</v>
      </c>
      <c r="C1056" s="11" t="s">
        <v>12</v>
      </c>
      <c r="D1056" s="13">
        <v>48.72</v>
      </c>
      <c r="E1056" s="13">
        <f t="shared" si="32"/>
        <v>29.232</v>
      </c>
      <c r="F1056" s="11">
        <v>2.5</v>
      </c>
      <c r="G1056" s="11"/>
      <c r="H1056" s="13">
        <f t="shared" si="33"/>
        <v>31.732</v>
      </c>
      <c r="I1056" s="11">
        <v>2</v>
      </c>
    </row>
    <row r="1057" ht="24" customHeight="1" spans="1:9">
      <c r="A1057" s="11" t="str">
        <f>"15124014603"</f>
        <v>15124014603</v>
      </c>
      <c r="B1057" s="12" t="s">
        <v>38</v>
      </c>
      <c r="C1057" s="11" t="s">
        <v>12</v>
      </c>
      <c r="D1057" s="13">
        <v>36.22</v>
      </c>
      <c r="E1057" s="13">
        <f t="shared" si="32"/>
        <v>21.732</v>
      </c>
      <c r="F1057" s="11">
        <v>2.5</v>
      </c>
      <c r="G1057" s="11"/>
      <c r="H1057" s="13">
        <f t="shared" si="33"/>
        <v>24.232</v>
      </c>
      <c r="I1057" s="11">
        <v>3</v>
      </c>
    </row>
    <row r="1058" ht="24" customHeight="1" spans="1:9">
      <c r="A1058" s="14" t="str">
        <f>"15124014604"</f>
        <v>15124014604</v>
      </c>
      <c r="B1058" s="15" t="s">
        <v>38</v>
      </c>
      <c r="C1058" s="14" t="s">
        <v>12</v>
      </c>
      <c r="D1058" s="16">
        <v>-1</v>
      </c>
      <c r="E1058" s="16">
        <f t="shared" si="32"/>
        <v>-0.6</v>
      </c>
      <c r="F1058" s="14">
        <v>2.5</v>
      </c>
      <c r="G1058" s="14"/>
      <c r="H1058" s="16">
        <f t="shared" si="33"/>
        <v>1.9</v>
      </c>
      <c r="I1058" s="14">
        <v>4</v>
      </c>
    </row>
    <row r="1059" ht="24" customHeight="1" spans="1:9">
      <c r="A1059" s="11" t="str">
        <f>"15125014606"</f>
        <v>15125014606</v>
      </c>
      <c r="B1059" s="12" t="s">
        <v>39</v>
      </c>
      <c r="C1059" s="11" t="s">
        <v>12</v>
      </c>
      <c r="D1059" s="13">
        <v>57.78</v>
      </c>
      <c r="E1059" s="13">
        <f t="shared" si="32"/>
        <v>34.668</v>
      </c>
      <c r="F1059" s="11">
        <v>2.5</v>
      </c>
      <c r="G1059" s="11"/>
      <c r="H1059" s="13">
        <f t="shared" si="33"/>
        <v>37.168</v>
      </c>
      <c r="I1059" s="11">
        <v>1</v>
      </c>
    </row>
    <row r="1060" ht="24" customHeight="1" spans="1:9">
      <c r="A1060" s="11" t="str">
        <f>"15125014615"</f>
        <v>15125014615</v>
      </c>
      <c r="B1060" s="12" t="s">
        <v>39</v>
      </c>
      <c r="C1060" s="11" t="s">
        <v>12</v>
      </c>
      <c r="D1060" s="13">
        <v>53.52</v>
      </c>
      <c r="E1060" s="13">
        <f t="shared" si="32"/>
        <v>32.112</v>
      </c>
      <c r="F1060" s="11">
        <v>2.5</v>
      </c>
      <c r="G1060" s="11"/>
      <c r="H1060" s="13">
        <f t="shared" si="33"/>
        <v>34.612</v>
      </c>
      <c r="I1060" s="11">
        <v>2</v>
      </c>
    </row>
    <row r="1061" ht="24" customHeight="1" spans="1:9">
      <c r="A1061" s="11" t="str">
        <f>"15125014609"</f>
        <v>15125014609</v>
      </c>
      <c r="B1061" s="12" t="s">
        <v>39</v>
      </c>
      <c r="C1061" s="11" t="s">
        <v>12</v>
      </c>
      <c r="D1061" s="13">
        <v>46.88</v>
      </c>
      <c r="E1061" s="13">
        <f t="shared" si="32"/>
        <v>28.128</v>
      </c>
      <c r="F1061" s="11">
        <v>2.5</v>
      </c>
      <c r="G1061" s="11"/>
      <c r="H1061" s="13">
        <f t="shared" si="33"/>
        <v>30.628</v>
      </c>
      <c r="I1061" s="11">
        <v>3</v>
      </c>
    </row>
    <row r="1062" ht="24" customHeight="1" spans="1:9">
      <c r="A1062" s="14" t="str">
        <f>"15125014607"</f>
        <v>15125014607</v>
      </c>
      <c r="B1062" s="15" t="s">
        <v>39</v>
      </c>
      <c r="C1062" s="14" t="s">
        <v>12</v>
      </c>
      <c r="D1062" s="16">
        <v>43.16</v>
      </c>
      <c r="E1062" s="16">
        <f t="shared" si="32"/>
        <v>25.896</v>
      </c>
      <c r="F1062" s="14">
        <v>2.5</v>
      </c>
      <c r="G1062" s="14"/>
      <c r="H1062" s="16">
        <f t="shared" si="33"/>
        <v>28.396</v>
      </c>
      <c r="I1062" s="14">
        <v>4</v>
      </c>
    </row>
    <row r="1063" ht="24" customHeight="1" spans="1:9">
      <c r="A1063" s="14" t="str">
        <f>"15125014605"</f>
        <v>15125014605</v>
      </c>
      <c r="B1063" s="15" t="s">
        <v>39</v>
      </c>
      <c r="C1063" s="14" t="s">
        <v>12</v>
      </c>
      <c r="D1063" s="16">
        <v>42.76</v>
      </c>
      <c r="E1063" s="16">
        <f t="shared" si="32"/>
        <v>25.656</v>
      </c>
      <c r="F1063" s="14">
        <v>2.5</v>
      </c>
      <c r="G1063" s="14"/>
      <c r="H1063" s="16">
        <f t="shared" si="33"/>
        <v>28.156</v>
      </c>
      <c r="I1063" s="14">
        <v>5</v>
      </c>
    </row>
    <row r="1064" ht="24" customHeight="1" spans="1:9">
      <c r="A1064" s="14" t="str">
        <f>"15125014612"</f>
        <v>15125014612</v>
      </c>
      <c r="B1064" s="15" t="s">
        <v>39</v>
      </c>
      <c r="C1064" s="14" t="s">
        <v>12</v>
      </c>
      <c r="D1064" s="16">
        <v>39.14</v>
      </c>
      <c r="E1064" s="16">
        <f t="shared" si="32"/>
        <v>23.484</v>
      </c>
      <c r="F1064" s="14">
        <v>2.5</v>
      </c>
      <c r="G1064" s="14"/>
      <c r="H1064" s="16">
        <f t="shared" si="33"/>
        <v>25.984</v>
      </c>
      <c r="I1064" s="14">
        <v>6</v>
      </c>
    </row>
    <row r="1065" ht="24" customHeight="1" spans="1:9">
      <c r="A1065" s="14" t="str">
        <f>"15125014614"</f>
        <v>15125014614</v>
      </c>
      <c r="B1065" s="15" t="s">
        <v>39</v>
      </c>
      <c r="C1065" s="14" t="s">
        <v>12</v>
      </c>
      <c r="D1065" s="16">
        <v>36.42</v>
      </c>
      <c r="E1065" s="16">
        <f t="shared" si="32"/>
        <v>21.852</v>
      </c>
      <c r="F1065" s="14">
        <v>2.5</v>
      </c>
      <c r="G1065" s="14"/>
      <c r="H1065" s="16">
        <f t="shared" si="33"/>
        <v>24.352</v>
      </c>
      <c r="I1065" s="14">
        <v>7</v>
      </c>
    </row>
    <row r="1066" ht="24" customHeight="1" spans="1:9">
      <c r="A1066" s="14" t="str">
        <f>"15125014608"</f>
        <v>15125014608</v>
      </c>
      <c r="B1066" s="15" t="s">
        <v>39</v>
      </c>
      <c r="C1066" s="14" t="s">
        <v>12</v>
      </c>
      <c r="D1066" s="16">
        <v>-1</v>
      </c>
      <c r="E1066" s="16">
        <f t="shared" si="32"/>
        <v>-0.6</v>
      </c>
      <c r="F1066" s="14">
        <v>2.5</v>
      </c>
      <c r="G1066" s="14"/>
      <c r="H1066" s="16">
        <f t="shared" si="33"/>
        <v>1.9</v>
      </c>
      <c r="I1066" s="14">
        <v>8</v>
      </c>
    </row>
    <row r="1067" ht="24" customHeight="1" spans="1:9">
      <c r="A1067" s="14" t="str">
        <f>"15125014610"</f>
        <v>15125014610</v>
      </c>
      <c r="B1067" s="15" t="s">
        <v>39</v>
      </c>
      <c r="C1067" s="14" t="s">
        <v>12</v>
      </c>
      <c r="D1067" s="16">
        <v>-1</v>
      </c>
      <c r="E1067" s="16">
        <f t="shared" si="32"/>
        <v>-0.6</v>
      </c>
      <c r="F1067" s="14">
        <v>2.5</v>
      </c>
      <c r="G1067" s="14"/>
      <c r="H1067" s="16">
        <f t="shared" si="33"/>
        <v>1.9</v>
      </c>
      <c r="I1067" s="14">
        <v>9</v>
      </c>
    </row>
    <row r="1068" ht="24" customHeight="1" spans="1:9">
      <c r="A1068" s="14" t="str">
        <f>"15125014611"</f>
        <v>15125014611</v>
      </c>
      <c r="B1068" s="15" t="s">
        <v>39</v>
      </c>
      <c r="C1068" s="14" t="s">
        <v>12</v>
      </c>
      <c r="D1068" s="16">
        <v>-1</v>
      </c>
      <c r="E1068" s="16">
        <f t="shared" si="32"/>
        <v>-0.6</v>
      </c>
      <c r="F1068" s="14">
        <v>2.5</v>
      </c>
      <c r="G1068" s="14"/>
      <c r="H1068" s="16">
        <f t="shared" si="33"/>
        <v>1.9</v>
      </c>
      <c r="I1068" s="14">
        <v>10</v>
      </c>
    </row>
    <row r="1069" ht="24" customHeight="1" spans="1:9">
      <c r="A1069" s="14" t="str">
        <f>"15125014613"</f>
        <v>15125014613</v>
      </c>
      <c r="B1069" s="15" t="s">
        <v>39</v>
      </c>
      <c r="C1069" s="14" t="s">
        <v>12</v>
      </c>
      <c r="D1069" s="16">
        <v>-1</v>
      </c>
      <c r="E1069" s="16">
        <f t="shared" si="32"/>
        <v>-0.6</v>
      </c>
      <c r="F1069" s="14">
        <v>2.5</v>
      </c>
      <c r="G1069" s="14"/>
      <c r="H1069" s="16">
        <f t="shared" si="33"/>
        <v>1.9</v>
      </c>
      <c r="I1069" s="14">
        <v>11</v>
      </c>
    </row>
    <row r="1070" ht="24" customHeight="1" spans="1:9">
      <c r="A1070" s="11" t="str">
        <f>"15126014301"</f>
        <v>15126014301</v>
      </c>
      <c r="B1070" s="12" t="s">
        <v>40</v>
      </c>
      <c r="C1070" s="11" t="s">
        <v>12</v>
      </c>
      <c r="D1070" s="13">
        <v>72.95</v>
      </c>
      <c r="E1070" s="13">
        <f t="shared" si="32"/>
        <v>43.77</v>
      </c>
      <c r="F1070" s="11">
        <v>2.5</v>
      </c>
      <c r="G1070" s="11"/>
      <c r="H1070" s="13">
        <f t="shared" si="33"/>
        <v>46.27</v>
      </c>
      <c r="I1070" s="11">
        <v>1</v>
      </c>
    </row>
    <row r="1071" ht="24" customHeight="1" spans="1:9">
      <c r="A1071" s="11" t="str">
        <f>"15126014305"</f>
        <v>15126014305</v>
      </c>
      <c r="B1071" s="12" t="s">
        <v>40</v>
      </c>
      <c r="C1071" s="11" t="s">
        <v>12</v>
      </c>
      <c r="D1071" s="13">
        <v>49.72</v>
      </c>
      <c r="E1071" s="13">
        <f t="shared" si="32"/>
        <v>29.832</v>
      </c>
      <c r="F1071" s="11">
        <v>2.5</v>
      </c>
      <c r="G1071" s="11"/>
      <c r="H1071" s="13">
        <f t="shared" si="33"/>
        <v>32.332</v>
      </c>
      <c r="I1071" s="11">
        <v>2</v>
      </c>
    </row>
    <row r="1072" ht="24" customHeight="1" spans="1:9">
      <c r="A1072" s="11" t="str">
        <f>"15126014302"</f>
        <v>15126014302</v>
      </c>
      <c r="B1072" s="12" t="s">
        <v>40</v>
      </c>
      <c r="C1072" s="11" t="s">
        <v>12</v>
      </c>
      <c r="D1072" s="13">
        <v>45.81</v>
      </c>
      <c r="E1072" s="13">
        <f t="shared" si="32"/>
        <v>27.486</v>
      </c>
      <c r="F1072" s="11">
        <v>2.5</v>
      </c>
      <c r="G1072" s="11"/>
      <c r="H1072" s="13">
        <f t="shared" si="33"/>
        <v>29.986</v>
      </c>
      <c r="I1072" s="11">
        <v>3</v>
      </c>
    </row>
    <row r="1073" ht="24" customHeight="1" spans="1:9">
      <c r="A1073" s="14" t="str">
        <f>"15126014304"</f>
        <v>15126014304</v>
      </c>
      <c r="B1073" s="15" t="s">
        <v>40</v>
      </c>
      <c r="C1073" s="14" t="s">
        <v>12</v>
      </c>
      <c r="D1073" s="16">
        <v>22.95</v>
      </c>
      <c r="E1073" s="16">
        <f t="shared" si="32"/>
        <v>13.77</v>
      </c>
      <c r="F1073" s="14">
        <v>2.5</v>
      </c>
      <c r="G1073" s="14"/>
      <c r="H1073" s="16">
        <f t="shared" si="33"/>
        <v>16.27</v>
      </c>
      <c r="I1073" s="14">
        <v>4</v>
      </c>
    </row>
    <row r="1074" ht="24" customHeight="1" spans="1:9">
      <c r="A1074" s="14" t="str">
        <f>"15126014303"</f>
        <v>15126014303</v>
      </c>
      <c r="B1074" s="15" t="s">
        <v>40</v>
      </c>
      <c r="C1074" s="14" t="s">
        <v>12</v>
      </c>
      <c r="D1074" s="16">
        <v>-1</v>
      </c>
      <c r="E1074" s="16">
        <f t="shared" si="32"/>
        <v>-0.6</v>
      </c>
      <c r="F1074" s="14">
        <v>2.5</v>
      </c>
      <c r="G1074" s="14"/>
      <c r="H1074" s="16">
        <f t="shared" si="33"/>
        <v>1.9</v>
      </c>
      <c r="I1074" s="14">
        <v>5</v>
      </c>
    </row>
    <row r="1075" ht="24" customHeight="1" spans="1:9">
      <c r="A1075" s="11" t="str">
        <f>"15127014502"</f>
        <v>15127014502</v>
      </c>
      <c r="B1075" s="12" t="s">
        <v>41</v>
      </c>
      <c r="C1075" s="11" t="s">
        <v>12</v>
      </c>
      <c r="D1075" s="13">
        <v>77.94</v>
      </c>
      <c r="E1075" s="13">
        <f t="shared" si="32"/>
        <v>46.764</v>
      </c>
      <c r="F1075" s="11">
        <v>2.5</v>
      </c>
      <c r="G1075" s="11"/>
      <c r="H1075" s="13">
        <f t="shared" si="33"/>
        <v>49.264</v>
      </c>
      <c r="I1075" s="11">
        <v>1</v>
      </c>
    </row>
    <row r="1076" ht="24" customHeight="1" spans="1:9">
      <c r="A1076" s="11" t="str">
        <f>"15127014512"</f>
        <v>15127014512</v>
      </c>
      <c r="B1076" s="12" t="s">
        <v>41</v>
      </c>
      <c r="C1076" s="11" t="s">
        <v>12</v>
      </c>
      <c r="D1076" s="13">
        <v>76.43</v>
      </c>
      <c r="E1076" s="13">
        <f t="shared" si="32"/>
        <v>45.858</v>
      </c>
      <c r="F1076" s="11">
        <v>2.5</v>
      </c>
      <c r="G1076" s="11"/>
      <c r="H1076" s="13">
        <f t="shared" si="33"/>
        <v>48.358</v>
      </c>
      <c r="I1076" s="11">
        <v>2</v>
      </c>
    </row>
    <row r="1077" ht="24" customHeight="1" spans="1:9">
      <c r="A1077" s="11" t="str">
        <f>"15127014508"</f>
        <v>15127014508</v>
      </c>
      <c r="B1077" s="12" t="s">
        <v>41</v>
      </c>
      <c r="C1077" s="11" t="s">
        <v>12</v>
      </c>
      <c r="D1077" s="13">
        <v>70.13</v>
      </c>
      <c r="E1077" s="13">
        <f t="shared" si="32"/>
        <v>42.078</v>
      </c>
      <c r="F1077" s="11">
        <v>2.5</v>
      </c>
      <c r="G1077" s="11"/>
      <c r="H1077" s="13">
        <f t="shared" si="33"/>
        <v>44.578</v>
      </c>
      <c r="I1077" s="11">
        <v>3</v>
      </c>
    </row>
    <row r="1078" ht="24" customHeight="1" spans="1:9">
      <c r="A1078" s="14" t="str">
        <f>"15127014509"</f>
        <v>15127014509</v>
      </c>
      <c r="B1078" s="15" t="s">
        <v>41</v>
      </c>
      <c r="C1078" s="14" t="s">
        <v>12</v>
      </c>
      <c r="D1078" s="16">
        <v>69.14</v>
      </c>
      <c r="E1078" s="16">
        <f t="shared" si="32"/>
        <v>41.484</v>
      </c>
      <c r="F1078" s="14">
        <v>2.5</v>
      </c>
      <c r="G1078" s="14"/>
      <c r="H1078" s="16">
        <f t="shared" si="33"/>
        <v>43.984</v>
      </c>
      <c r="I1078" s="14">
        <v>4</v>
      </c>
    </row>
    <row r="1079" ht="24" customHeight="1" spans="1:9">
      <c r="A1079" s="14" t="str">
        <f>"15127014507"</f>
        <v>15127014507</v>
      </c>
      <c r="B1079" s="15" t="s">
        <v>41</v>
      </c>
      <c r="C1079" s="14" t="s">
        <v>12</v>
      </c>
      <c r="D1079" s="16">
        <v>66.35</v>
      </c>
      <c r="E1079" s="16">
        <f t="shared" si="32"/>
        <v>39.81</v>
      </c>
      <c r="F1079" s="14">
        <v>2.5</v>
      </c>
      <c r="G1079" s="14"/>
      <c r="H1079" s="16">
        <f t="shared" si="33"/>
        <v>42.31</v>
      </c>
      <c r="I1079" s="14">
        <v>5</v>
      </c>
    </row>
    <row r="1080" ht="24" customHeight="1" spans="1:9">
      <c r="A1080" s="14" t="str">
        <f>"15127014504"</f>
        <v>15127014504</v>
      </c>
      <c r="B1080" s="15" t="s">
        <v>41</v>
      </c>
      <c r="C1080" s="14" t="s">
        <v>12</v>
      </c>
      <c r="D1080" s="16">
        <v>63.99</v>
      </c>
      <c r="E1080" s="16">
        <f t="shared" si="32"/>
        <v>38.394</v>
      </c>
      <c r="F1080" s="14">
        <v>2.5</v>
      </c>
      <c r="G1080" s="14"/>
      <c r="H1080" s="16">
        <f t="shared" si="33"/>
        <v>40.894</v>
      </c>
      <c r="I1080" s="14">
        <v>6</v>
      </c>
    </row>
    <row r="1081" ht="24" customHeight="1" spans="1:9">
      <c r="A1081" s="14" t="str">
        <f>"15127014501"</f>
        <v>15127014501</v>
      </c>
      <c r="B1081" s="15" t="s">
        <v>41</v>
      </c>
      <c r="C1081" s="14" t="s">
        <v>12</v>
      </c>
      <c r="D1081" s="16">
        <v>59.15</v>
      </c>
      <c r="E1081" s="16">
        <f t="shared" si="32"/>
        <v>35.49</v>
      </c>
      <c r="F1081" s="14">
        <v>2.5</v>
      </c>
      <c r="G1081" s="14"/>
      <c r="H1081" s="16">
        <f t="shared" si="33"/>
        <v>37.99</v>
      </c>
      <c r="I1081" s="14">
        <v>7</v>
      </c>
    </row>
    <row r="1082" ht="24" customHeight="1" spans="1:9">
      <c r="A1082" s="14" t="str">
        <f>"15127014503"</f>
        <v>15127014503</v>
      </c>
      <c r="B1082" s="15" t="s">
        <v>41</v>
      </c>
      <c r="C1082" s="14" t="s">
        <v>12</v>
      </c>
      <c r="D1082" s="16">
        <v>52.71</v>
      </c>
      <c r="E1082" s="16">
        <f t="shared" si="32"/>
        <v>31.626</v>
      </c>
      <c r="F1082" s="14">
        <v>2.5</v>
      </c>
      <c r="G1082" s="14"/>
      <c r="H1082" s="16">
        <f t="shared" si="33"/>
        <v>34.126</v>
      </c>
      <c r="I1082" s="14">
        <v>8</v>
      </c>
    </row>
    <row r="1083" ht="24" customHeight="1" spans="1:9">
      <c r="A1083" s="14" t="str">
        <f>"15127014506"</f>
        <v>15127014506</v>
      </c>
      <c r="B1083" s="15" t="s">
        <v>41</v>
      </c>
      <c r="C1083" s="14" t="s">
        <v>12</v>
      </c>
      <c r="D1083" s="16">
        <v>51.37</v>
      </c>
      <c r="E1083" s="16">
        <f t="shared" si="32"/>
        <v>30.822</v>
      </c>
      <c r="F1083" s="14">
        <v>2.5</v>
      </c>
      <c r="G1083" s="14"/>
      <c r="H1083" s="16">
        <f t="shared" si="33"/>
        <v>33.322</v>
      </c>
      <c r="I1083" s="14">
        <v>9</v>
      </c>
    </row>
    <row r="1084" ht="24" customHeight="1" spans="1:9">
      <c r="A1084" s="14" t="str">
        <f>"15127014511"</f>
        <v>15127014511</v>
      </c>
      <c r="B1084" s="15" t="s">
        <v>41</v>
      </c>
      <c r="C1084" s="14" t="s">
        <v>12</v>
      </c>
      <c r="D1084" s="16">
        <v>41.75</v>
      </c>
      <c r="E1084" s="16">
        <f t="shared" si="32"/>
        <v>25.05</v>
      </c>
      <c r="F1084" s="14">
        <v>2.5</v>
      </c>
      <c r="G1084" s="14"/>
      <c r="H1084" s="16">
        <f t="shared" si="33"/>
        <v>27.55</v>
      </c>
      <c r="I1084" s="14">
        <v>10</v>
      </c>
    </row>
    <row r="1085" ht="24" customHeight="1" spans="1:9">
      <c r="A1085" s="14" t="str">
        <f>"15127014505"</f>
        <v>15127014505</v>
      </c>
      <c r="B1085" s="15" t="s">
        <v>41</v>
      </c>
      <c r="C1085" s="14" t="s">
        <v>12</v>
      </c>
      <c r="D1085" s="16">
        <v>-1</v>
      </c>
      <c r="E1085" s="16">
        <f t="shared" si="32"/>
        <v>-0.6</v>
      </c>
      <c r="F1085" s="14">
        <v>2.5</v>
      </c>
      <c r="G1085" s="14"/>
      <c r="H1085" s="16">
        <f t="shared" si="33"/>
        <v>1.9</v>
      </c>
      <c r="I1085" s="14">
        <v>11</v>
      </c>
    </row>
    <row r="1086" s="2" customFormat="1" ht="24" customHeight="1" spans="1:9">
      <c r="A1086" s="14" t="str">
        <f>"15127014510"</f>
        <v>15127014510</v>
      </c>
      <c r="B1086" s="15" t="s">
        <v>41</v>
      </c>
      <c r="C1086" s="14" t="s">
        <v>12</v>
      </c>
      <c r="D1086" s="16">
        <v>-1</v>
      </c>
      <c r="E1086" s="16">
        <f t="shared" si="32"/>
        <v>-0.6</v>
      </c>
      <c r="F1086" s="14">
        <v>2.5</v>
      </c>
      <c r="G1086" s="17"/>
      <c r="H1086" s="16">
        <f t="shared" si="33"/>
        <v>1.9</v>
      </c>
      <c r="I1086" s="14">
        <v>12</v>
      </c>
    </row>
    <row r="1087" ht="24" customHeight="1" spans="1:9">
      <c r="A1087" s="11" t="str">
        <f>"15128014701"</f>
        <v>15128014701</v>
      </c>
      <c r="B1087" s="12" t="s">
        <v>42</v>
      </c>
      <c r="C1087" s="11" t="s">
        <v>12</v>
      </c>
      <c r="D1087" s="13">
        <v>58.08</v>
      </c>
      <c r="E1087" s="13">
        <f t="shared" si="32"/>
        <v>34.848</v>
      </c>
      <c r="F1087" s="11">
        <v>2.5</v>
      </c>
      <c r="G1087" s="11"/>
      <c r="H1087" s="13">
        <f t="shared" si="33"/>
        <v>37.348</v>
      </c>
      <c r="I1087" s="11">
        <v>1</v>
      </c>
    </row>
    <row r="1088" ht="24" customHeight="1" spans="1:9">
      <c r="A1088" s="11" t="str">
        <f>"15128014706"</f>
        <v>15128014706</v>
      </c>
      <c r="B1088" s="12" t="s">
        <v>42</v>
      </c>
      <c r="C1088" s="11" t="s">
        <v>12</v>
      </c>
      <c r="D1088" s="13">
        <v>54.96</v>
      </c>
      <c r="E1088" s="13">
        <f t="shared" si="32"/>
        <v>32.976</v>
      </c>
      <c r="F1088" s="11">
        <v>2.5</v>
      </c>
      <c r="G1088" s="11"/>
      <c r="H1088" s="13">
        <f t="shared" si="33"/>
        <v>35.476</v>
      </c>
      <c r="I1088" s="11">
        <v>2</v>
      </c>
    </row>
    <row r="1089" ht="24" customHeight="1" spans="1:9">
      <c r="A1089" s="11" t="str">
        <f>"15128014704"</f>
        <v>15128014704</v>
      </c>
      <c r="B1089" s="12" t="s">
        <v>42</v>
      </c>
      <c r="C1089" s="11" t="s">
        <v>12</v>
      </c>
      <c r="D1089" s="13">
        <v>54.04</v>
      </c>
      <c r="E1089" s="13">
        <f t="shared" si="32"/>
        <v>32.424</v>
      </c>
      <c r="F1089" s="11">
        <v>2.5</v>
      </c>
      <c r="G1089" s="11"/>
      <c r="H1089" s="13">
        <f t="shared" si="33"/>
        <v>34.924</v>
      </c>
      <c r="I1089" s="11">
        <v>3</v>
      </c>
    </row>
    <row r="1090" ht="24" customHeight="1" spans="1:9">
      <c r="A1090" s="11" t="str">
        <f>"15128014712"</f>
        <v>15128014712</v>
      </c>
      <c r="B1090" s="12" t="s">
        <v>42</v>
      </c>
      <c r="C1090" s="11" t="s">
        <v>12</v>
      </c>
      <c r="D1090" s="13">
        <v>53.96</v>
      </c>
      <c r="E1090" s="13">
        <f t="shared" si="32"/>
        <v>32.376</v>
      </c>
      <c r="F1090" s="11">
        <v>2.5</v>
      </c>
      <c r="G1090" s="11"/>
      <c r="H1090" s="13">
        <f t="shared" si="33"/>
        <v>34.876</v>
      </c>
      <c r="I1090" s="11">
        <v>4</v>
      </c>
    </row>
    <row r="1091" ht="24" customHeight="1" spans="1:9">
      <c r="A1091" s="11" t="str">
        <f>"15128014710"</f>
        <v>15128014710</v>
      </c>
      <c r="B1091" s="12" t="s">
        <v>42</v>
      </c>
      <c r="C1091" s="11" t="s">
        <v>12</v>
      </c>
      <c r="D1091" s="13">
        <v>51.52</v>
      </c>
      <c r="E1091" s="13">
        <f t="shared" ref="E1091:E1154" si="34">D1091*0.6</f>
        <v>30.912</v>
      </c>
      <c r="F1091" s="11">
        <v>2.5</v>
      </c>
      <c r="G1091" s="11"/>
      <c r="H1091" s="13">
        <f t="shared" ref="H1091:H1154" si="35">SUM(E1091:G1091)</f>
        <v>33.412</v>
      </c>
      <c r="I1091" s="11">
        <v>5</v>
      </c>
    </row>
    <row r="1092" ht="24" customHeight="1" spans="1:9">
      <c r="A1092" s="11" t="str">
        <f>"15128014707"</f>
        <v>15128014707</v>
      </c>
      <c r="B1092" s="12" t="s">
        <v>42</v>
      </c>
      <c r="C1092" s="11" t="s">
        <v>12</v>
      </c>
      <c r="D1092" s="13">
        <v>51.44</v>
      </c>
      <c r="E1092" s="13">
        <f t="shared" si="34"/>
        <v>30.864</v>
      </c>
      <c r="F1092" s="11">
        <v>2.5</v>
      </c>
      <c r="G1092" s="11"/>
      <c r="H1092" s="13">
        <f t="shared" si="35"/>
        <v>33.364</v>
      </c>
      <c r="I1092" s="11">
        <v>6</v>
      </c>
    </row>
    <row r="1093" ht="24" customHeight="1" spans="1:9">
      <c r="A1093" s="14" t="str">
        <f>"15128014705"</f>
        <v>15128014705</v>
      </c>
      <c r="B1093" s="15" t="s">
        <v>42</v>
      </c>
      <c r="C1093" s="14" t="s">
        <v>12</v>
      </c>
      <c r="D1093" s="16">
        <v>49.08</v>
      </c>
      <c r="E1093" s="16">
        <f t="shared" si="34"/>
        <v>29.448</v>
      </c>
      <c r="F1093" s="14">
        <v>2.5</v>
      </c>
      <c r="G1093" s="14"/>
      <c r="H1093" s="16">
        <f t="shared" si="35"/>
        <v>31.948</v>
      </c>
      <c r="I1093" s="14">
        <v>7</v>
      </c>
    </row>
    <row r="1094" ht="24" customHeight="1" spans="1:9">
      <c r="A1094" s="14" t="str">
        <f>"15128014711"</f>
        <v>15128014711</v>
      </c>
      <c r="B1094" s="15" t="s">
        <v>42</v>
      </c>
      <c r="C1094" s="14" t="s">
        <v>12</v>
      </c>
      <c r="D1094" s="16">
        <v>48.08</v>
      </c>
      <c r="E1094" s="16">
        <f t="shared" si="34"/>
        <v>28.848</v>
      </c>
      <c r="F1094" s="14">
        <v>2.5</v>
      </c>
      <c r="G1094" s="14"/>
      <c r="H1094" s="16">
        <f t="shared" si="35"/>
        <v>31.348</v>
      </c>
      <c r="I1094" s="14">
        <v>8</v>
      </c>
    </row>
    <row r="1095" ht="24" customHeight="1" spans="1:9">
      <c r="A1095" s="14" t="str">
        <f>"15128014702"</f>
        <v>15128014702</v>
      </c>
      <c r="B1095" s="15" t="s">
        <v>42</v>
      </c>
      <c r="C1095" s="14" t="s">
        <v>12</v>
      </c>
      <c r="D1095" s="16">
        <v>47.32</v>
      </c>
      <c r="E1095" s="16">
        <f t="shared" si="34"/>
        <v>28.392</v>
      </c>
      <c r="F1095" s="14">
        <v>2.5</v>
      </c>
      <c r="G1095" s="14"/>
      <c r="H1095" s="16">
        <f t="shared" si="35"/>
        <v>30.892</v>
      </c>
      <c r="I1095" s="14">
        <v>9</v>
      </c>
    </row>
    <row r="1096" ht="24" customHeight="1" spans="1:9">
      <c r="A1096" s="14" t="str">
        <f>"15128014703"</f>
        <v>15128014703</v>
      </c>
      <c r="B1096" s="15" t="s">
        <v>42</v>
      </c>
      <c r="C1096" s="14" t="s">
        <v>12</v>
      </c>
      <c r="D1096" s="16">
        <v>46.4</v>
      </c>
      <c r="E1096" s="16">
        <f t="shared" si="34"/>
        <v>27.84</v>
      </c>
      <c r="F1096" s="14">
        <v>2.5</v>
      </c>
      <c r="G1096" s="14"/>
      <c r="H1096" s="16">
        <f t="shared" si="35"/>
        <v>30.34</v>
      </c>
      <c r="I1096" s="14">
        <v>10</v>
      </c>
    </row>
    <row r="1097" ht="24" customHeight="1" spans="1:9">
      <c r="A1097" s="14" t="str">
        <f>"15128014708"</f>
        <v>15128014708</v>
      </c>
      <c r="B1097" s="15" t="s">
        <v>42</v>
      </c>
      <c r="C1097" s="14" t="s">
        <v>12</v>
      </c>
      <c r="D1097" s="16">
        <v>45.48</v>
      </c>
      <c r="E1097" s="16">
        <f t="shared" si="34"/>
        <v>27.288</v>
      </c>
      <c r="F1097" s="14">
        <v>2.5</v>
      </c>
      <c r="G1097" s="14"/>
      <c r="H1097" s="16">
        <f t="shared" si="35"/>
        <v>29.788</v>
      </c>
      <c r="I1097" s="14">
        <v>11</v>
      </c>
    </row>
    <row r="1098" ht="24" customHeight="1" spans="1:9">
      <c r="A1098" s="14" t="str">
        <f>"15128014709"</f>
        <v>15128014709</v>
      </c>
      <c r="B1098" s="15" t="s">
        <v>42</v>
      </c>
      <c r="C1098" s="14" t="s">
        <v>12</v>
      </c>
      <c r="D1098" s="16">
        <v>-1</v>
      </c>
      <c r="E1098" s="16">
        <f t="shared" si="34"/>
        <v>-0.6</v>
      </c>
      <c r="F1098" s="14">
        <v>2.5</v>
      </c>
      <c r="G1098" s="14"/>
      <c r="H1098" s="16">
        <f t="shared" si="35"/>
        <v>1.9</v>
      </c>
      <c r="I1098" s="14">
        <v>12</v>
      </c>
    </row>
    <row r="1099" ht="24" customHeight="1" spans="1:10">
      <c r="A1099" s="17" t="str">
        <f>"15129014102"</f>
        <v>15129014102</v>
      </c>
      <c r="B1099" s="18" t="s">
        <v>43</v>
      </c>
      <c r="C1099" s="17" t="s">
        <v>11</v>
      </c>
      <c r="D1099" s="19">
        <v>69.16</v>
      </c>
      <c r="E1099" s="19">
        <f t="shared" si="34"/>
        <v>41.496</v>
      </c>
      <c r="F1099" s="17"/>
      <c r="G1099" s="17"/>
      <c r="H1099" s="19">
        <f t="shared" si="35"/>
        <v>41.496</v>
      </c>
      <c r="I1099" s="17">
        <v>1</v>
      </c>
      <c r="J1099" s="2"/>
    </row>
    <row r="1100" ht="24" customHeight="1" spans="1:10">
      <c r="A1100" s="17" t="str">
        <f>"15129014101"</f>
        <v>15129014101</v>
      </c>
      <c r="B1100" s="18" t="s">
        <v>43</v>
      </c>
      <c r="C1100" s="17" t="s">
        <v>11</v>
      </c>
      <c r="D1100" s="19">
        <v>-1</v>
      </c>
      <c r="E1100" s="19">
        <f t="shared" si="34"/>
        <v>-0.6</v>
      </c>
      <c r="F1100" s="17"/>
      <c r="G1100" s="17"/>
      <c r="H1100" s="19">
        <f t="shared" si="35"/>
        <v>-0.6</v>
      </c>
      <c r="I1100" s="17">
        <v>2</v>
      </c>
      <c r="J1100" s="2" t="s">
        <v>36</v>
      </c>
    </row>
    <row r="1101" ht="24" customHeight="1" spans="1:9">
      <c r="A1101" s="11" t="str">
        <f>"15130021426"</f>
        <v>15130021426</v>
      </c>
      <c r="B1101" s="12" t="s">
        <v>44</v>
      </c>
      <c r="C1101" s="11" t="s">
        <v>12</v>
      </c>
      <c r="D1101" s="13">
        <v>66.2</v>
      </c>
      <c r="E1101" s="13">
        <f t="shared" si="34"/>
        <v>39.72</v>
      </c>
      <c r="F1101" s="11">
        <v>2.5</v>
      </c>
      <c r="G1101" s="11"/>
      <c r="H1101" s="13">
        <f t="shared" si="35"/>
        <v>42.22</v>
      </c>
      <c r="I1101" s="11">
        <v>1</v>
      </c>
    </row>
    <row r="1102" ht="24" customHeight="1" spans="1:9">
      <c r="A1102" s="11" t="str">
        <f>"15130021309"</f>
        <v>15130021309</v>
      </c>
      <c r="B1102" s="12" t="s">
        <v>44</v>
      </c>
      <c r="C1102" s="11" t="s">
        <v>12</v>
      </c>
      <c r="D1102" s="13">
        <v>62.4</v>
      </c>
      <c r="E1102" s="13">
        <f t="shared" si="34"/>
        <v>37.44</v>
      </c>
      <c r="F1102" s="11">
        <v>2.5</v>
      </c>
      <c r="G1102" s="11"/>
      <c r="H1102" s="13">
        <f t="shared" si="35"/>
        <v>39.94</v>
      </c>
      <c r="I1102" s="11">
        <v>2</v>
      </c>
    </row>
    <row r="1103" ht="24" customHeight="1" spans="1:9">
      <c r="A1103" s="11" t="str">
        <f>"15130021402"</f>
        <v>15130021402</v>
      </c>
      <c r="B1103" s="12" t="s">
        <v>44</v>
      </c>
      <c r="C1103" s="11" t="s">
        <v>12</v>
      </c>
      <c r="D1103" s="13">
        <v>62.03</v>
      </c>
      <c r="E1103" s="13">
        <f t="shared" si="34"/>
        <v>37.218</v>
      </c>
      <c r="F1103" s="11">
        <v>2.5</v>
      </c>
      <c r="G1103" s="11"/>
      <c r="H1103" s="13">
        <f t="shared" si="35"/>
        <v>39.718</v>
      </c>
      <c r="I1103" s="11">
        <v>3</v>
      </c>
    </row>
    <row r="1104" ht="24" customHeight="1" spans="1:9">
      <c r="A1104" s="11" t="str">
        <f>"15130021410"</f>
        <v>15130021410</v>
      </c>
      <c r="B1104" s="12" t="s">
        <v>44</v>
      </c>
      <c r="C1104" s="11" t="s">
        <v>12</v>
      </c>
      <c r="D1104" s="13">
        <v>60.25</v>
      </c>
      <c r="E1104" s="13">
        <f t="shared" si="34"/>
        <v>36.15</v>
      </c>
      <c r="F1104" s="11">
        <v>2.5</v>
      </c>
      <c r="G1104" s="11"/>
      <c r="H1104" s="13">
        <f t="shared" si="35"/>
        <v>38.65</v>
      </c>
      <c r="I1104" s="11">
        <v>4</v>
      </c>
    </row>
    <row r="1105" ht="24" customHeight="1" spans="1:9">
      <c r="A1105" s="11" t="str">
        <f>"15130021417"</f>
        <v>15130021417</v>
      </c>
      <c r="B1105" s="12" t="s">
        <v>44</v>
      </c>
      <c r="C1105" s="11" t="s">
        <v>12</v>
      </c>
      <c r="D1105" s="13">
        <v>60.09</v>
      </c>
      <c r="E1105" s="13">
        <f t="shared" si="34"/>
        <v>36.054</v>
      </c>
      <c r="F1105" s="11">
        <v>2.5</v>
      </c>
      <c r="G1105" s="11"/>
      <c r="H1105" s="13">
        <f t="shared" si="35"/>
        <v>38.554</v>
      </c>
      <c r="I1105" s="11">
        <v>5</v>
      </c>
    </row>
    <row r="1106" ht="24" customHeight="1" spans="1:9">
      <c r="A1106" s="11" t="str">
        <f>"15130021311"</f>
        <v>15130021311</v>
      </c>
      <c r="B1106" s="12" t="s">
        <v>44</v>
      </c>
      <c r="C1106" s="11" t="s">
        <v>12</v>
      </c>
      <c r="D1106" s="13">
        <v>59</v>
      </c>
      <c r="E1106" s="13">
        <f t="shared" si="34"/>
        <v>35.4</v>
      </c>
      <c r="F1106" s="11">
        <v>2.5</v>
      </c>
      <c r="G1106" s="11"/>
      <c r="H1106" s="13">
        <f t="shared" si="35"/>
        <v>37.9</v>
      </c>
      <c r="I1106" s="11">
        <v>6</v>
      </c>
    </row>
    <row r="1107" ht="24" customHeight="1" spans="1:9">
      <c r="A1107" s="20" t="str">
        <f>"15130021302"</f>
        <v>15130021302</v>
      </c>
      <c r="B1107" s="21" t="s">
        <v>44</v>
      </c>
      <c r="C1107" s="20" t="s">
        <v>12</v>
      </c>
      <c r="D1107" s="22">
        <v>58.35</v>
      </c>
      <c r="E1107" s="22">
        <f t="shared" si="34"/>
        <v>35.01</v>
      </c>
      <c r="F1107" s="20">
        <v>2.5</v>
      </c>
      <c r="G1107" s="20"/>
      <c r="H1107" s="22">
        <f t="shared" si="35"/>
        <v>37.51</v>
      </c>
      <c r="I1107" s="20">
        <v>7</v>
      </c>
    </row>
    <row r="1108" ht="24" customHeight="1" spans="1:9">
      <c r="A1108" s="20" t="str">
        <f>"15130021403"</f>
        <v>15130021403</v>
      </c>
      <c r="B1108" s="21" t="s">
        <v>44</v>
      </c>
      <c r="C1108" s="20" t="s">
        <v>12</v>
      </c>
      <c r="D1108" s="22">
        <v>57.42</v>
      </c>
      <c r="E1108" s="22">
        <f t="shared" si="34"/>
        <v>34.452</v>
      </c>
      <c r="F1108" s="20">
        <v>2.5</v>
      </c>
      <c r="G1108" s="20"/>
      <c r="H1108" s="22">
        <f t="shared" si="35"/>
        <v>36.952</v>
      </c>
      <c r="I1108" s="20">
        <v>8</v>
      </c>
    </row>
    <row r="1109" ht="24" customHeight="1" spans="1:9">
      <c r="A1109" s="20" t="str">
        <f>"15130021420"</f>
        <v>15130021420</v>
      </c>
      <c r="B1109" s="21" t="s">
        <v>44</v>
      </c>
      <c r="C1109" s="20" t="s">
        <v>12</v>
      </c>
      <c r="D1109" s="22">
        <v>56.89</v>
      </c>
      <c r="E1109" s="22">
        <f t="shared" si="34"/>
        <v>34.134</v>
      </c>
      <c r="F1109" s="20">
        <v>2.5</v>
      </c>
      <c r="G1109" s="20"/>
      <c r="H1109" s="22">
        <f t="shared" si="35"/>
        <v>36.634</v>
      </c>
      <c r="I1109" s="20">
        <v>9</v>
      </c>
    </row>
    <row r="1110" ht="24" customHeight="1" spans="1:9">
      <c r="A1110" s="20" t="str">
        <f>"15130021414"</f>
        <v>15130021414</v>
      </c>
      <c r="B1110" s="21" t="s">
        <v>44</v>
      </c>
      <c r="C1110" s="20" t="s">
        <v>12</v>
      </c>
      <c r="D1110" s="22">
        <v>56.85</v>
      </c>
      <c r="E1110" s="22">
        <f t="shared" si="34"/>
        <v>34.11</v>
      </c>
      <c r="F1110" s="20">
        <v>2.5</v>
      </c>
      <c r="G1110" s="20"/>
      <c r="H1110" s="22">
        <f t="shared" si="35"/>
        <v>36.61</v>
      </c>
      <c r="I1110" s="20">
        <v>10</v>
      </c>
    </row>
    <row r="1111" ht="24" customHeight="1" spans="1:9">
      <c r="A1111" s="20" t="str">
        <f>"15130021330"</f>
        <v>15130021330</v>
      </c>
      <c r="B1111" s="21" t="s">
        <v>44</v>
      </c>
      <c r="C1111" s="20" t="s">
        <v>12</v>
      </c>
      <c r="D1111" s="22">
        <v>56.65</v>
      </c>
      <c r="E1111" s="22">
        <f t="shared" si="34"/>
        <v>33.99</v>
      </c>
      <c r="F1111" s="20">
        <v>2.5</v>
      </c>
      <c r="G1111" s="20"/>
      <c r="H1111" s="22">
        <f t="shared" si="35"/>
        <v>36.49</v>
      </c>
      <c r="I1111" s="20">
        <v>11</v>
      </c>
    </row>
    <row r="1112" ht="24" customHeight="1" spans="1:9">
      <c r="A1112" s="20" t="str">
        <f>"15130021404"</f>
        <v>15130021404</v>
      </c>
      <c r="B1112" s="21" t="s">
        <v>44</v>
      </c>
      <c r="C1112" s="20" t="s">
        <v>12</v>
      </c>
      <c r="D1112" s="22">
        <v>56.52</v>
      </c>
      <c r="E1112" s="22">
        <f t="shared" si="34"/>
        <v>33.912</v>
      </c>
      <c r="F1112" s="20">
        <v>2.5</v>
      </c>
      <c r="G1112" s="20"/>
      <c r="H1112" s="22">
        <f t="shared" si="35"/>
        <v>36.412</v>
      </c>
      <c r="I1112" s="20">
        <v>12</v>
      </c>
    </row>
    <row r="1113" ht="24" customHeight="1" spans="1:9">
      <c r="A1113" s="14" t="str">
        <f>"15130021416"</f>
        <v>15130021416</v>
      </c>
      <c r="B1113" s="15" t="s">
        <v>44</v>
      </c>
      <c r="C1113" s="14" t="s">
        <v>12</v>
      </c>
      <c r="D1113" s="16">
        <v>55.52</v>
      </c>
      <c r="E1113" s="16">
        <f t="shared" si="34"/>
        <v>33.312</v>
      </c>
      <c r="F1113" s="14">
        <v>2.5</v>
      </c>
      <c r="G1113" s="14"/>
      <c r="H1113" s="16">
        <f t="shared" si="35"/>
        <v>35.812</v>
      </c>
      <c r="I1113" s="14">
        <v>13</v>
      </c>
    </row>
    <row r="1114" ht="24" customHeight="1" spans="1:9">
      <c r="A1114" s="14" t="str">
        <f>"15130021322"</f>
        <v>15130021322</v>
      </c>
      <c r="B1114" s="15" t="s">
        <v>44</v>
      </c>
      <c r="C1114" s="14" t="s">
        <v>12</v>
      </c>
      <c r="D1114" s="16">
        <v>54.99</v>
      </c>
      <c r="E1114" s="16">
        <f t="shared" si="34"/>
        <v>32.994</v>
      </c>
      <c r="F1114" s="14">
        <v>2.5</v>
      </c>
      <c r="G1114" s="14"/>
      <c r="H1114" s="16">
        <f t="shared" si="35"/>
        <v>35.494</v>
      </c>
      <c r="I1114" s="14">
        <v>14</v>
      </c>
    </row>
    <row r="1115" ht="24" customHeight="1" spans="1:9">
      <c r="A1115" s="14" t="str">
        <f>"15130021418"</f>
        <v>15130021418</v>
      </c>
      <c r="B1115" s="15" t="s">
        <v>44</v>
      </c>
      <c r="C1115" s="14" t="s">
        <v>12</v>
      </c>
      <c r="D1115" s="16">
        <v>52.16</v>
      </c>
      <c r="E1115" s="16">
        <f t="shared" si="34"/>
        <v>31.296</v>
      </c>
      <c r="F1115" s="14">
        <v>2.5</v>
      </c>
      <c r="G1115" s="14"/>
      <c r="H1115" s="16">
        <f t="shared" si="35"/>
        <v>33.796</v>
      </c>
      <c r="I1115" s="14">
        <v>15</v>
      </c>
    </row>
    <row r="1116" ht="24" customHeight="1" spans="1:9">
      <c r="A1116" s="14" t="str">
        <f>"15130021313"</f>
        <v>15130021313</v>
      </c>
      <c r="B1116" s="15" t="s">
        <v>44</v>
      </c>
      <c r="C1116" s="14" t="s">
        <v>12</v>
      </c>
      <c r="D1116" s="16">
        <v>51.51</v>
      </c>
      <c r="E1116" s="16">
        <f t="shared" si="34"/>
        <v>30.906</v>
      </c>
      <c r="F1116" s="14">
        <v>2.5</v>
      </c>
      <c r="G1116" s="14"/>
      <c r="H1116" s="16">
        <f t="shared" si="35"/>
        <v>33.406</v>
      </c>
      <c r="I1116" s="14">
        <v>16</v>
      </c>
    </row>
    <row r="1117" ht="24" customHeight="1" spans="1:9">
      <c r="A1117" s="14" t="str">
        <f>"15130021408"</f>
        <v>15130021408</v>
      </c>
      <c r="B1117" s="15" t="s">
        <v>44</v>
      </c>
      <c r="C1117" s="14" t="s">
        <v>12</v>
      </c>
      <c r="D1117" s="16">
        <v>51.23</v>
      </c>
      <c r="E1117" s="16">
        <f t="shared" si="34"/>
        <v>30.738</v>
      </c>
      <c r="F1117" s="14">
        <v>2.5</v>
      </c>
      <c r="G1117" s="14"/>
      <c r="H1117" s="16">
        <f t="shared" si="35"/>
        <v>33.238</v>
      </c>
      <c r="I1117" s="14">
        <v>17</v>
      </c>
    </row>
    <row r="1118" ht="24" customHeight="1" spans="1:9">
      <c r="A1118" s="14" t="str">
        <f>"15130021310"</f>
        <v>15130021310</v>
      </c>
      <c r="B1118" s="15" t="s">
        <v>44</v>
      </c>
      <c r="C1118" s="14" t="s">
        <v>12</v>
      </c>
      <c r="D1118" s="16">
        <v>50.74</v>
      </c>
      <c r="E1118" s="16">
        <f t="shared" si="34"/>
        <v>30.444</v>
      </c>
      <c r="F1118" s="14">
        <v>2.5</v>
      </c>
      <c r="G1118" s="14"/>
      <c r="H1118" s="16">
        <f t="shared" si="35"/>
        <v>32.944</v>
      </c>
      <c r="I1118" s="14">
        <v>18</v>
      </c>
    </row>
    <row r="1119" ht="24" customHeight="1" spans="1:9">
      <c r="A1119" s="14" t="str">
        <f>"15130021318"</f>
        <v>15130021318</v>
      </c>
      <c r="B1119" s="15" t="s">
        <v>44</v>
      </c>
      <c r="C1119" s="14" t="s">
        <v>12</v>
      </c>
      <c r="D1119" s="16">
        <v>50.29</v>
      </c>
      <c r="E1119" s="16">
        <f t="shared" si="34"/>
        <v>30.174</v>
      </c>
      <c r="F1119" s="14">
        <v>2.5</v>
      </c>
      <c r="G1119" s="14"/>
      <c r="H1119" s="16">
        <f t="shared" si="35"/>
        <v>32.674</v>
      </c>
      <c r="I1119" s="14">
        <v>19</v>
      </c>
    </row>
    <row r="1120" ht="24" customHeight="1" spans="1:9">
      <c r="A1120" s="14" t="str">
        <f>"15130021329"</f>
        <v>15130021329</v>
      </c>
      <c r="B1120" s="15" t="s">
        <v>44</v>
      </c>
      <c r="C1120" s="14" t="s">
        <v>12</v>
      </c>
      <c r="D1120" s="16">
        <v>50.05</v>
      </c>
      <c r="E1120" s="16">
        <f t="shared" si="34"/>
        <v>30.03</v>
      </c>
      <c r="F1120" s="14">
        <v>2.5</v>
      </c>
      <c r="G1120" s="14"/>
      <c r="H1120" s="16">
        <f t="shared" si="35"/>
        <v>32.53</v>
      </c>
      <c r="I1120" s="14">
        <v>20</v>
      </c>
    </row>
    <row r="1121" ht="24" customHeight="1" spans="1:9">
      <c r="A1121" s="14" t="str">
        <f>"15130021326"</f>
        <v>15130021326</v>
      </c>
      <c r="B1121" s="15" t="s">
        <v>44</v>
      </c>
      <c r="C1121" s="14" t="s">
        <v>12</v>
      </c>
      <c r="D1121" s="16">
        <v>49.48</v>
      </c>
      <c r="E1121" s="16">
        <f t="shared" si="34"/>
        <v>29.688</v>
      </c>
      <c r="F1121" s="14">
        <v>2.5</v>
      </c>
      <c r="G1121" s="14"/>
      <c r="H1121" s="16">
        <f t="shared" si="35"/>
        <v>32.188</v>
      </c>
      <c r="I1121" s="14">
        <v>21</v>
      </c>
    </row>
    <row r="1122" ht="24" customHeight="1" spans="1:9">
      <c r="A1122" s="14" t="str">
        <f>"15130021421"</f>
        <v>15130021421</v>
      </c>
      <c r="B1122" s="15" t="s">
        <v>44</v>
      </c>
      <c r="C1122" s="14" t="s">
        <v>12</v>
      </c>
      <c r="D1122" s="16">
        <v>49.44</v>
      </c>
      <c r="E1122" s="16">
        <f t="shared" si="34"/>
        <v>29.664</v>
      </c>
      <c r="F1122" s="14">
        <v>2.5</v>
      </c>
      <c r="G1122" s="14"/>
      <c r="H1122" s="16">
        <f t="shared" si="35"/>
        <v>32.164</v>
      </c>
      <c r="I1122" s="14">
        <v>22</v>
      </c>
    </row>
    <row r="1123" ht="24" customHeight="1" spans="1:9">
      <c r="A1123" s="14" t="str">
        <f>"15130021325"</f>
        <v>15130021325</v>
      </c>
      <c r="B1123" s="15" t="s">
        <v>44</v>
      </c>
      <c r="C1123" s="14" t="s">
        <v>12</v>
      </c>
      <c r="D1123" s="16">
        <v>48.11</v>
      </c>
      <c r="E1123" s="16">
        <f t="shared" si="34"/>
        <v>28.866</v>
      </c>
      <c r="F1123" s="14">
        <v>2.5</v>
      </c>
      <c r="G1123" s="14"/>
      <c r="H1123" s="16">
        <f t="shared" si="35"/>
        <v>31.366</v>
      </c>
      <c r="I1123" s="14">
        <v>23</v>
      </c>
    </row>
    <row r="1124" ht="24" customHeight="1" spans="1:9">
      <c r="A1124" s="14" t="str">
        <f>"15130021314"</f>
        <v>15130021314</v>
      </c>
      <c r="B1124" s="15" t="s">
        <v>44</v>
      </c>
      <c r="C1124" s="14" t="s">
        <v>12</v>
      </c>
      <c r="D1124" s="16">
        <v>48.07</v>
      </c>
      <c r="E1124" s="16">
        <f t="shared" si="34"/>
        <v>28.842</v>
      </c>
      <c r="F1124" s="14">
        <v>2.5</v>
      </c>
      <c r="G1124" s="14"/>
      <c r="H1124" s="16">
        <f t="shared" si="35"/>
        <v>31.342</v>
      </c>
      <c r="I1124" s="14">
        <v>24</v>
      </c>
    </row>
    <row r="1125" ht="24" customHeight="1" spans="1:9">
      <c r="A1125" s="14" t="str">
        <f>"15130021305"</f>
        <v>15130021305</v>
      </c>
      <c r="B1125" s="15" t="s">
        <v>44</v>
      </c>
      <c r="C1125" s="14" t="s">
        <v>12</v>
      </c>
      <c r="D1125" s="16">
        <v>47.46</v>
      </c>
      <c r="E1125" s="16">
        <f t="shared" si="34"/>
        <v>28.476</v>
      </c>
      <c r="F1125" s="14">
        <v>2.5</v>
      </c>
      <c r="G1125" s="14"/>
      <c r="H1125" s="16">
        <f t="shared" si="35"/>
        <v>30.976</v>
      </c>
      <c r="I1125" s="14">
        <v>25</v>
      </c>
    </row>
    <row r="1126" ht="24" customHeight="1" spans="1:9">
      <c r="A1126" s="14" t="str">
        <f>"15130021317"</f>
        <v>15130021317</v>
      </c>
      <c r="B1126" s="15" t="s">
        <v>44</v>
      </c>
      <c r="C1126" s="14" t="s">
        <v>12</v>
      </c>
      <c r="D1126" s="16">
        <v>47.22</v>
      </c>
      <c r="E1126" s="16">
        <f t="shared" si="34"/>
        <v>28.332</v>
      </c>
      <c r="F1126" s="14">
        <v>2.5</v>
      </c>
      <c r="G1126" s="14"/>
      <c r="H1126" s="16">
        <f t="shared" si="35"/>
        <v>30.832</v>
      </c>
      <c r="I1126" s="14">
        <v>26</v>
      </c>
    </row>
    <row r="1127" ht="24" customHeight="1" spans="1:9">
      <c r="A1127" s="14" t="str">
        <f>"15130021327"</f>
        <v>15130021327</v>
      </c>
      <c r="B1127" s="15" t="s">
        <v>44</v>
      </c>
      <c r="C1127" s="14" t="s">
        <v>12</v>
      </c>
      <c r="D1127" s="16">
        <v>46.93</v>
      </c>
      <c r="E1127" s="16">
        <f t="shared" si="34"/>
        <v>28.158</v>
      </c>
      <c r="F1127" s="14">
        <v>2.5</v>
      </c>
      <c r="G1127" s="14"/>
      <c r="H1127" s="16">
        <f t="shared" si="35"/>
        <v>30.658</v>
      </c>
      <c r="I1127" s="14">
        <v>27</v>
      </c>
    </row>
    <row r="1128" ht="24" customHeight="1" spans="1:9">
      <c r="A1128" s="14" t="str">
        <f>"15130021407"</f>
        <v>15130021407</v>
      </c>
      <c r="B1128" s="15" t="s">
        <v>44</v>
      </c>
      <c r="C1128" s="14" t="s">
        <v>12</v>
      </c>
      <c r="D1128" s="16">
        <v>46.93</v>
      </c>
      <c r="E1128" s="16">
        <f t="shared" si="34"/>
        <v>28.158</v>
      </c>
      <c r="F1128" s="14">
        <v>2.5</v>
      </c>
      <c r="G1128" s="14"/>
      <c r="H1128" s="16">
        <f t="shared" si="35"/>
        <v>30.658</v>
      </c>
      <c r="I1128" s="14">
        <v>28</v>
      </c>
    </row>
    <row r="1129" ht="24" customHeight="1" spans="1:9">
      <c r="A1129" s="14" t="str">
        <f>"15130021401"</f>
        <v>15130021401</v>
      </c>
      <c r="B1129" s="15" t="s">
        <v>44</v>
      </c>
      <c r="C1129" s="14" t="s">
        <v>12</v>
      </c>
      <c r="D1129" s="16">
        <v>46.85</v>
      </c>
      <c r="E1129" s="16">
        <f t="shared" si="34"/>
        <v>28.11</v>
      </c>
      <c r="F1129" s="14">
        <v>2.5</v>
      </c>
      <c r="G1129" s="14"/>
      <c r="H1129" s="16">
        <f t="shared" si="35"/>
        <v>30.61</v>
      </c>
      <c r="I1129" s="14">
        <v>29</v>
      </c>
    </row>
    <row r="1130" ht="24" customHeight="1" spans="1:9">
      <c r="A1130" s="14" t="str">
        <f>"15130021406"</f>
        <v>15130021406</v>
      </c>
      <c r="B1130" s="15" t="s">
        <v>44</v>
      </c>
      <c r="C1130" s="14" t="s">
        <v>12</v>
      </c>
      <c r="D1130" s="16">
        <v>46.81</v>
      </c>
      <c r="E1130" s="16">
        <f t="shared" si="34"/>
        <v>28.086</v>
      </c>
      <c r="F1130" s="14">
        <v>2.5</v>
      </c>
      <c r="G1130" s="14"/>
      <c r="H1130" s="16">
        <f t="shared" si="35"/>
        <v>30.586</v>
      </c>
      <c r="I1130" s="14">
        <v>30</v>
      </c>
    </row>
    <row r="1131" ht="24" customHeight="1" spans="1:9">
      <c r="A1131" s="14" t="str">
        <f>"15130021312"</f>
        <v>15130021312</v>
      </c>
      <c r="B1131" s="15" t="s">
        <v>44</v>
      </c>
      <c r="C1131" s="14" t="s">
        <v>12</v>
      </c>
      <c r="D1131" s="16">
        <v>45.88</v>
      </c>
      <c r="E1131" s="16">
        <f t="shared" si="34"/>
        <v>27.528</v>
      </c>
      <c r="F1131" s="14">
        <v>2.5</v>
      </c>
      <c r="G1131" s="14"/>
      <c r="H1131" s="16">
        <f t="shared" si="35"/>
        <v>30.028</v>
      </c>
      <c r="I1131" s="14">
        <v>31</v>
      </c>
    </row>
    <row r="1132" ht="24" customHeight="1" spans="1:9">
      <c r="A1132" s="14" t="str">
        <f>"15130021423"</f>
        <v>15130021423</v>
      </c>
      <c r="B1132" s="15" t="s">
        <v>44</v>
      </c>
      <c r="C1132" s="14" t="s">
        <v>12</v>
      </c>
      <c r="D1132" s="16">
        <v>45.84</v>
      </c>
      <c r="E1132" s="16">
        <f t="shared" si="34"/>
        <v>27.504</v>
      </c>
      <c r="F1132" s="14">
        <v>2.5</v>
      </c>
      <c r="G1132" s="14"/>
      <c r="H1132" s="16">
        <f t="shared" si="35"/>
        <v>30.004</v>
      </c>
      <c r="I1132" s="14">
        <v>32</v>
      </c>
    </row>
    <row r="1133" ht="24" customHeight="1" spans="1:9">
      <c r="A1133" s="14" t="str">
        <f>"15130021316"</f>
        <v>15130021316</v>
      </c>
      <c r="B1133" s="15" t="s">
        <v>44</v>
      </c>
      <c r="C1133" s="14" t="s">
        <v>12</v>
      </c>
      <c r="D1133" s="16">
        <v>45.56</v>
      </c>
      <c r="E1133" s="16">
        <f t="shared" si="34"/>
        <v>27.336</v>
      </c>
      <c r="F1133" s="14">
        <v>2.5</v>
      </c>
      <c r="G1133" s="14"/>
      <c r="H1133" s="16">
        <f t="shared" si="35"/>
        <v>29.836</v>
      </c>
      <c r="I1133" s="14">
        <v>33</v>
      </c>
    </row>
    <row r="1134" ht="24" customHeight="1" spans="1:9">
      <c r="A1134" s="14" t="str">
        <f>"15130021422"</f>
        <v>15130021422</v>
      </c>
      <c r="B1134" s="15" t="s">
        <v>44</v>
      </c>
      <c r="C1134" s="14" t="s">
        <v>12</v>
      </c>
      <c r="D1134" s="16">
        <v>45.39</v>
      </c>
      <c r="E1134" s="16">
        <f t="shared" si="34"/>
        <v>27.234</v>
      </c>
      <c r="F1134" s="14">
        <v>2.5</v>
      </c>
      <c r="G1134" s="14"/>
      <c r="H1134" s="16">
        <f t="shared" si="35"/>
        <v>29.734</v>
      </c>
      <c r="I1134" s="14">
        <v>34</v>
      </c>
    </row>
    <row r="1135" ht="24" customHeight="1" spans="1:9">
      <c r="A1135" s="14" t="str">
        <f>"15130021320"</f>
        <v>15130021320</v>
      </c>
      <c r="B1135" s="15" t="s">
        <v>44</v>
      </c>
      <c r="C1135" s="14" t="s">
        <v>12</v>
      </c>
      <c r="D1135" s="16">
        <v>44.67</v>
      </c>
      <c r="E1135" s="16">
        <f t="shared" si="34"/>
        <v>26.802</v>
      </c>
      <c r="F1135" s="14">
        <v>2.5</v>
      </c>
      <c r="G1135" s="14"/>
      <c r="H1135" s="16">
        <f t="shared" si="35"/>
        <v>29.302</v>
      </c>
      <c r="I1135" s="14">
        <v>35</v>
      </c>
    </row>
    <row r="1136" ht="24" customHeight="1" spans="1:9">
      <c r="A1136" s="14" t="str">
        <f>"15130021306"</f>
        <v>15130021306</v>
      </c>
      <c r="B1136" s="15" t="s">
        <v>44</v>
      </c>
      <c r="C1136" s="14" t="s">
        <v>12</v>
      </c>
      <c r="D1136" s="16">
        <v>44.54</v>
      </c>
      <c r="E1136" s="16">
        <f t="shared" si="34"/>
        <v>26.724</v>
      </c>
      <c r="F1136" s="14">
        <v>2.5</v>
      </c>
      <c r="G1136" s="14"/>
      <c r="H1136" s="16">
        <f t="shared" si="35"/>
        <v>29.224</v>
      </c>
      <c r="I1136" s="14">
        <v>36</v>
      </c>
    </row>
    <row r="1137" ht="24" customHeight="1" spans="1:9">
      <c r="A1137" s="14" t="str">
        <f>"15130021301"</f>
        <v>15130021301</v>
      </c>
      <c r="B1137" s="15" t="s">
        <v>44</v>
      </c>
      <c r="C1137" s="14" t="s">
        <v>12</v>
      </c>
      <c r="D1137" s="16">
        <v>44.06</v>
      </c>
      <c r="E1137" s="16">
        <f t="shared" si="34"/>
        <v>26.436</v>
      </c>
      <c r="F1137" s="14">
        <v>2.5</v>
      </c>
      <c r="G1137" s="14"/>
      <c r="H1137" s="16">
        <f t="shared" si="35"/>
        <v>28.936</v>
      </c>
      <c r="I1137" s="14">
        <v>37</v>
      </c>
    </row>
    <row r="1138" ht="24" customHeight="1" spans="1:9">
      <c r="A1138" s="14" t="str">
        <f>"15130021415"</f>
        <v>15130021415</v>
      </c>
      <c r="B1138" s="15" t="s">
        <v>44</v>
      </c>
      <c r="C1138" s="14" t="s">
        <v>12</v>
      </c>
      <c r="D1138" s="16">
        <v>44.06</v>
      </c>
      <c r="E1138" s="16">
        <f t="shared" si="34"/>
        <v>26.436</v>
      </c>
      <c r="F1138" s="14">
        <v>2.5</v>
      </c>
      <c r="G1138" s="14"/>
      <c r="H1138" s="16">
        <f t="shared" si="35"/>
        <v>28.936</v>
      </c>
      <c r="I1138" s="14">
        <v>38</v>
      </c>
    </row>
    <row r="1139" ht="24" customHeight="1" spans="1:9">
      <c r="A1139" s="14" t="str">
        <f>"15130021413"</f>
        <v>15130021413</v>
      </c>
      <c r="B1139" s="15" t="s">
        <v>44</v>
      </c>
      <c r="C1139" s="14" t="s">
        <v>12</v>
      </c>
      <c r="D1139" s="16">
        <v>41.51</v>
      </c>
      <c r="E1139" s="16">
        <f t="shared" si="34"/>
        <v>24.906</v>
      </c>
      <c r="F1139" s="14">
        <v>2.5</v>
      </c>
      <c r="G1139" s="14"/>
      <c r="H1139" s="16">
        <f t="shared" si="35"/>
        <v>27.406</v>
      </c>
      <c r="I1139" s="14">
        <v>39</v>
      </c>
    </row>
    <row r="1140" ht="24" customHeight="1" spans="1:9">
      <c r="A1140" s="14" t="str">
        <f>"15130021328"</f>
        <v>15130021328</v>
      </c>
      <c r="B1140" s="15" t="s">
        <v>44</v>
      </c>
      <c r="C1140" s="14" t="s">
        <v>12</v>
      </c>
      <c r="D1140" s="16">
        <v>41.1</v>
      </c>
      <c r="E1140" s="16">
        <f t="shared" si="34"/>
        <v>24.66</v>
      </c>
      <c r="F1140" s="14">
        <v>2.5</v>
      </c>
      <c r="G1140" s="14"/>
      <c r="H1140" s="16">
        <f t="shared" si="35"/>
        <v>27.16</v>
      </c>
      <c r="I1140" s="14">
        <v>40</v>
      </c>
    </row>
    <row r="1141" ht="24" customHeight="1" spans="1:9">
      <c r="A1141" s="14" t="str">
        <f>"15130021303"</f>
        <v>15130021303</v>
      </c>
      <c r="B1141" s="15" t="s">
        <v>44</v>
      </c>
      <c r="C1141" s="14" t="s">
        <v>12</v>
      </c>
      <c r="D1141" s="16">
        <v>41.03</v>
      </c>
      <c r="E1141" s="16">
        <f t="shared" si="34"/>
        <v>24.618</v>
      </c>
      <c r="F1141" s="14">
        <v>2.5</v>
      </c>
      <c r="G1141" s="14"/>
      <c r="H1141" s="16">
        <f t="shared" si="35"/>
        <v>27.118</v>
      </c>
      <c r="I1141" s="14">
        <v>41</v>
      </c>
    </row>
    <row r="1142" ht="24" customHeight="1" spans="1:9">
      <c r="A1142" s="14" t="str">
        <f>"15130021307"</f>
        <v>15130021307</v>
      </c>
      <c r="B1142" s="15" t="s">
        <v>44</v>
      </c>
      <c r="C1142" s="14" t="s">
        <v>12</v>
      </c>
      <c r="D1142" s="16">
        <v>40.94</v>
      </c>
      <c r="E1142" s="16">
        <f t="shared" si="34"/>
        <v>24.564</v>
      </c>
      <c r="F1142" s="14">
        <v>2.5</v>
      </c>
      <c r="G1142" s="14"/>
      <c r="H1142" s="16">
        <f t="shared" si="35"/>
        <v>27.064</v>
      </c>
      <c r="I1142" s="14">
        <v>42</v>
      </c>
    </row>
    <row r="1143" ht="24" customHeight="1" spans="1:9">
      <c r="A1143" s="14" t="str">
        <f>"15130021425"</f>
        <v>15130021425</v>
      </c>
      <c r="B1143" s="15" t="s">
        <v>44</v>
      </c>
      <c r="C1143" s="14" t="s">
        <v>12</v>
      </c>
      <c r="D1143" s="16">
        <v>40.74</v>
      </c>
      <c r="E1143" s="16">
        <f t="shared" si="34"/>
        <v>24.444</v>
      </c>
      <c r="F1143" s="14">
        <v>2.5</v>
      </c>
      <c r="G1143" s="14"/>
      <c r="H1143" s="16">
        <f t="shared" si="35"/>
        <v>26.944</v>
      </c>
      <c r="I1143" s="14">
        <v>43</v>
      </c>
    </row>
    <row r="1144" ht="24" customHeight="1" spans="1:9">
      <c r="A1144" s="14" t="str">
        <f>"15130021324"</f>
        <v>15130021324</v>
      </c>
      <c r="B1144" s="15" t="s">
        <v>44</v>
      </c>
      <c r="C1144" s="14" t="s">
        <v>12</v>
      </c>
      <c r="D1144" s="16">
        <v>39.89</v>
      </c>
      <c r="E1144" s="16">
        <f t="shared" si="34"/>
        <v>23.934</v>
      </c>
      <c r="F1144" s="14">
        <v>2.5</v>
      </c>
      <c r="G1144" s="14"/>
      <c r="H1144" s="16">
        <f t="shared" si="35"/>
        <v>26.434</v>
      </c>
      <c r="I1144" s="14">
        <v>44</v>
      </c>
    </row>
    <row r="1145" ht="24" customHeight="1" spans="1:9">
      <c r="A1145" s="14" t="str">
        <f>"15130021411"</f>
        <v>15130021411</v>
      </c>
      <c r="B1145" s="15" t="s">
        <v>44</v>
      </c>
      <c r="C1145" s="14" t="s">
        <v>12</v>
      </c>
      <c r="D1145" s="16">
        <v>39.77</v>
      </c>
      <c r="E1145" s="16">
        <f t="shared" si="34"/>
        <v>23.862</v>
      </c>
      <c r="F1145" s="14">
        <v>2.5</v>
      </c>
      <c r="G1145" s="14"/>
      <c r="H1145" s="16">
        <f t="shared" si="35"/>
        <v>26.362</v>
      </c>
      <c r="I1145" s="14">
        <v>45</v>
      </c>
    </row>
    <row r="1146" ht="24" customHeight="1" spans="1:9">
      <c r="A1146" s="14" t="str">
        <f>"15130021323"</f>
        <v>15130021323</v>
      </c>
      <c r="B1146" s="15" t="s">
        <v>44</v>
      </c>
      <c r="C1146" s="14" t="s">
        <v>12</v>
      </c>
      <c r="D1146" s="16">
        <v>39.48</v>
      </c>
      <c r="E1146" s="16">
        <f t="shared" si="34"/>
        <v>23.688</v>
      </c>
      <c r="F1146" s="14">
        <v>2.5</v>
      </c>
      <c r="G1146" s="14"/>
      <c r="H1146" s="16">
        <f t="shared" si="35"/>
        <v>26.188</v>
      </c>
      <c r="I1146" s="14">
        <v>46</v>
      </c>
    </row>
    <row r="1147" ht="24" customHeight="1" spans="1:9">
      <c r="A1147" s="14" t="str">
        <f>"15130021419"</f>
        <v>15130021419</v>
      </c>
      <c r="B1147" s="15" t="s">
        <v>44</v>
      </c>
      <c r="C1147" s="14" t="s">
        <v>12</v>
      </c>
      <c r="D1147" s="16">
        <v>39.28</v>
      </c>
      <c r="E1147" s="16">
        <f t="shared" si="34"/>
        <v>23.568</v>
      </c>
      <c r="F1147" s="14">
        <v>2.5</v>
      </c>
      <c r="G1147" s="14"/>
      <c r="H1147" s="16">
        <f t="shared" si="35"/>
        <v>26.068</v>
      </c>
      <c r="I1147" s="14">
        <v>47</v>
      </c>
    </row>
    <row r="1148" ht="24" customHeight="1" spans="1:9">
      <c r="A1148" s="14" t="str">
        <f>"15130021412"</f>
        <v>15130021412</v>
      </c>
      <c r="B1148" s="15" t="s">
        <v>44</v>
      </c>
      <c r="C1148" s="14" t="s">
        <v>12</v>
      </c>
      <c r="D1148" s="16">
        <v>38.8</v>
      </c>
      <c r="E1148" s="16">
        <f t="shared" si="34"/>
        <v>23.28</v>
      </c>
      <c r="F1148" s="14">
        <v>2.5</v>
      </c>
      <c r="G1148" s="14"/>
      <c r="H1148" s="16">
        <f t="shared" si="35"/>
        <v>25.78</v>
      </c>
      <c r="I1148" s="14">
        <v>48</v>
      </c>
    </row>
    <row r="1149" ht="24" customHeight="1" spans="1:9">
      <c r="A1149" s="14" t="str">
        <f>"15130021409"</f>
        <v>15130021409</v>
      </c>
      <c r="B1149" s="15" t="s">
        <v>44</v>
      </c>
      <c r="C1149" s="14" t="s">
        <v>12</v>
      </c>
      <c r="D1149" s="16">
        <v>38.44</v>
      </c>
      <c r="E1149" s="16">
        <f t="shared" si="34"/>
        <v>23.064</v>
      </c>
      <c r="F1149" s="14">
        <v>2.5</v>
      </c>
      <c r="G1149" s="14"/>
      <c r="H1149" s="16">
        <f t="shared" si="35"/>
        <v>25.564</v>
      </c>
      <c r="I1149" s="14">
        <v>49</v>
      </c>
    </row>
    <row r="1150" ht="24" customHeight="1" spans="1:9">
      <c r="A1150" s="14" t="str">
        <f>"15130021304"</f>
        <v>15130021304</v>
      </c>
      <c r="B1150" s="15" t="s">
        <v>44</v>
      </c>
      <c r="C1150" s="14" t="s">
        <v>12</v>
      </c>
      <c r="D1150" s="16">
        <v>36.82</v>
      </c>
      <c r="E1150" s="16">
        <f t="shared" si="34"/>
        <v>22.092</v>
      </c>
      <c r="F1150" s="14">
        <v>2.5</v>
      </c>
      <c r="G1150" s="14"/>
      <c r="H1150" s="16">
        <f t="shared" si="35"/>
        <v>24.592</v>
      </c>
      <c r="I1150" s="14">
        <v>50</v>
      </c>
    </row>
    <row r="1151" ht="24" customHeight="1" spans="1:9">
      <c r="A1151" s="14" t="str">
        <f>"15130021405"</f>
        <v>15130021405</v>
      </c>
      <c r="B1151" s="15" t="s">
        <v>44</v>
      </c>
      <c r="C1151" s="14" t="s">
        <v>12</v>
      </c>
      <c r="D1151" s="16">
        <v>34.58</v>
      </c>
      <c r="E1151" s="16">
        <f t="shared" si="34"/>
        <v>20.748</v>
      </c>
      <c r="F1151" s="14">
        <v>2.5</v>
      </c>
      <c r="G1151" s="14"/>
      <c r="H1151" s="16">
        <f t="shared" si="35"/>
        <v>23.248</v>
      </c>
      <c r="I1151" s="14">
        <v>51</v>
      </c>
    </row>
    <row r="1152" ht="24" customHeight="1" spans="1:9">
      <c r="A1152" s="14" t="str">
        <f>"15130021321"</f>
        <v>15130021321</v>
      </c>
      <c r="B1152" s="15" t="s">
        <v>44</v>
      </c>
      <c r="C1152" s="14" t="s">
        <v>12</v>
      </c>
      <c r="D1152" s="16">
        <v>32.8</v>
      </c>
      <c r="E1152" s="16">
        <f t="shared" si="34"/>
        <v>19.68</v>
      </c>
      <c r="F1152" s="14">
        <v>2.5</v>
      </c>
      <c r="G1152" s="14"/>
      <c r="H1152" s="16">
        <f t="shared" si="35"/>
        <v>22.18</v>
      </c>
      <c r="I1152" s="14">
        <v>52</v>
      </c>
    </row>
    <row r="1153" ht="24" customHeight="1" spans="1:9">
      <c r="A1153" s="14" t="str">
        <f>"15130021424"</f>
        <v>15130021424</v>
      </c>
      <c r="B1153" s="15" t="s">
        <v>44</v>
      </c>
      <c r="C1153" s="14" t="s">
        <v>12</v>
      </c>
      <c r="D1153" s="16">
        <v>30.66</v>
      </c>
      <c r="E1153" s="16">
        <f t="shared" si="34"/>
        <v>18.396</v>
      </c>
      <c r="F1153" s="14">
        <v>2.5</v>
      </c>
      <c r="G1153" s="14"/>
      <c r="H1153" s="16">
        <f t="shared" si="35"/>
        <v>20.896</v>
      </c>
      <c r="I1153" s="14">
        <v>53</v>
      </c>
    </row>
    <row r="1154" ht="24" customHeight="1" spans="1:9">
      <c r="A1154" s="14" t="str">
        <f>"15130021308"</f>
        <v>15130021308</v>
      </c>
      <c r="B1154" s="15" t="s">
        <v>44</v>
      </c>
      <c r="C1154" s="14" t="s">
        <v>12</v>
      </c>
      <c r="D1154" s="16">
        <v>-1</v>
      </c>
      <c r="E1154" s="16">
        <f t="shared" si="34"/>
        <v>-0.6</v>
      </c>
      <c r="F1154" s="14">
        <v>2.5</v>
      </c>
      <c r="G1154" s="14"/>
      <c r="H1154" s="16">
        <f t="shared" si="35"/>
        <v>1.9</v>
      </c>
      <c r="I1154" s="14">
        <v>54</v>
      </c>
    </row>
    <row r="1155" ht="24" customHeight="1" spans="1:9">
      <c r="A1155" s="14" t="str">
        <f>"15130021315"</f>
        <v>15130021315</v>
      </c>
      <c r="B1155" s="15" t="s">
        <v>44</v>
      </c>
      <c r="C1155" s="14" t="s">
        <v>12</v>
      </c>
      <c r="D1155" s="16">
        <v>-1</v>
      </c>
      <c r="E1155" s="16">
        <f t="shared" ref="E1155:E1218" si="36">D1155*0.6</f>
        <v>-0.6</v>
      </c>
      <c r="F1155" s="14">
        <v>2.5</v>
      </c>
      <c r="G1155" s="14"/>
      <c r="H1155" s="16">
        <f t="shared" ref="H1155:H1218" si="37">SUM(E1155:G1155)</f>
        <v>1.9</v>
      </c>
      <c r="I1155" s="14">
        <v>55</v>
      </c>
    </row>
    <row r="1156" ht="24" customHeight="1" spans="1:9">
      <c r="A1156" s="14" t="str">
        <f>"15130021319"</f>
        <v>15130021319</v>
      </c>
      <c r="B1156" s="15" t="s">
        <v>44</v>
      </c>
      <c r="C1156" s="14" t="s">
        <v>12</v>
      </c>
      <c r="D1156" s="16">
        <v>-1</v>
      </c>
      <c r="E1156" s="16">
        <f t="shared" si="36"/>
        <v>-0.6</v>
      </c>
      <c r="F1156" s="14">
        <v>2.5</v>
      </c>
      <c r="G1156" s="14"/>
      <c r="H1156" s="16">
        <f t="shared" si="37"/>
        <v>1.9</v>
      </c>
      <c r="I1156" s="14">
        <v>56</v>
      </c>
    </row>
    <row r="1157" ht="24" customHeight="1" spans="1:9">
      <c r="A1157" s="11" t="str">
        <f>"15132020629"</f>
        <v>15132020629</v>
      </c>
      <c r="B1157" s="12" t="s">
        <v>45</v>
      </c>
      <c r="C1157" s="11" t="s">
        <v>12</v>
      </c>
      <c r="D1157" s="13">
        <v>82.95</v>
      </c>
      <c r="E1157" s="13">
        <f t="shared" si="36"/>
        <v>49.77</v>
      </c>
      <c r="F1157" s="11">
        <v>2.5</v>
      </c>
      <c r="G1157" s="11"/>
      <c r="H1157" s="13">
        <f t="shared" si="37"/>
        <v>52.27</v>
      </c>
      <c r="I1157" s="11">
        <v>1</v>
      </c>
    </row>
    <row r="1158" ht="24" customHeight="1" spans="1:9">
      <c r="A1158" s="11" t="str">
        <f>"15132020223"</f>
        <v>15132020223</v>
      </c>
      <c r="B1158" s="12" t="s">
        <v>45</v>
      </c>
      <c r="C1158" s="11" t="s">
        <v>11</v>
      </c>
      <c r="D1158" s="13">
        <v>86.93</v>
      </c>
      <c r="E1158" s="13">
        <f t="shared" si="36"/>
        <v>52.158</v>
      </c>
      <c r="F1158" s="11"/>
      <c r="G1158" s="11"/>
      <c r="H1158" s="13">
        <f t="shared" si="37"/>
        <v>52.158</v>
      </c>
      <c r="I1158" s="11">
        <v>2</v>
      </c>
    </row>
    <row r="1159" ht="24" customHeight="1" spans="1:9">
      <c r="A1159" s="11" t="str">
        <f>"15132020206"</f>
        <v>15132020206</v>
      </c>
      <c r="B1159" s="12" t="s">
        <v>45</v>
      </c>
      <c r="C1159" s="11" t="s">
        <v>12</v>
      </c>
      <c r="D1159" s="13">
        <v>81.55</v>
      </c>
      <c r="E1159" s="13">
        <f t="shared" si="36"/>
        <v>48.93</v>
      </c>
      <c r="F1159" s="11">
        <v>2.5</v>
      </c>
      <c r="G1159" s="11"/>
      <c r="H1159" s="13">
        <f t="shared" si="37"/>
        <v>51.43</v>
      </c>
      <c r="I1159" s="11">
        <v>3</v>
      </c>
    </row>
    <row r="1160" ht="24" customHeight="1" spans="1:9">
      <c r="A1160" s="11" t="str">
        <f>"15132020816"</f>
        <v>15132020816</v>
      </c>
      <c r="B1160" s="12" t="s">
        <v>45</v>
      </c>
      <c r="C1160" s="11" t="s">
        <v>12</v>
      </c>
      <c r="D1160" s="13">
        <v>81.42</v>
      </c>
      <c r="E1160" s="13">
        <f t="shared" si="36"/>
        <v>48.852</v>
      </c>
      <c r="F1160" s="11">
        <v>2.5</v>
      </c>
      <c r="G1160" s="11"/>
      <c r="H1160" s="13">
        <f t="shared" si="37"/>
        <v>51.352</v>
      </c>
      <c r="I1160" s="11">
        <v>4</v>
      </c>
    </row>
    <row r="1161" ht="24" customHeight="1" spans="1:9">
      <c r="A1161" s="11" t="str">
        <f>"15132020422"</f>
        <v>15132020422</v>
      </c>
      <c r="B1161" s="12" t="s">
        <v>45</v>
      </c>
      <c r="C1161" s="11" t="s">
        <v>12</v>
      </c>
      <c r="D1161" s="13">
        <v>81.14</v>
      </c>
      <c r="E1161" s="13">
        <f t="shared" si="36"/>
        <v>48.684</v>
      </c>
      <c r="F1161" s="11">
        <v>2.5</v>
      </c>
      <c r="G1161" s="11"/>
      <c r="H1161" s="13">
        <f t="shared" si="37"/>
        <v>51.184</v>
      </c>
      <c r="I1161" s="11">
        <v>5</v>
      </c>
    </row>
    <row r="1162" ht="24" customHeight="1" spans="1:9">
      <c r="A1162" s="11" t="str">
        <f>"15132020528"</f>
        <v>15132020528</v>
      </c>
      <c r="B1162" s="12" t="s">
        <v>45</v>
      </c>
      <c r="C1162" s="11" t="s">
        <v>11</v>
      </c>
      <c r="D1162" s="13">
        <v>84.74</v>
      </c>
      <c r="E1162" s="13">
        <f t="shared" si="36"/>
        <v>50.844</v>
      </c>
      <c r="F1162" s="11"/>
      <c r="G1162" s="11"/>
      <c r="H1162" s="13">
        <f t="shared" si="37"/>
        <v>50.844</v>
      </c>
      <c r="I1162" s="11">
        <v>6</v>
      </c>
    </row>
    <row r="1163" ht="24" customHeight="1" spans="1:9">
      <c r="A1163" s="11" t="str">
        <f>"15132020823"</f>
        <v>15132020823</v>
      </c>
      <c r="B1163" s="12" t="s">
        <v>45</v>
      </c>
      <c r="C1163" s="11" t="s">
        <v>11</v>
      </c>
      <c r="D1163" s="13">
        <v>84.49</v>
      </c>
      <c r="E1163" s="13">
        <f t="shared" si="36"/>
        <v>50.694</v>
      </c>
      <c r="F1163" s="11"/>
      <c r="G1163" s="11"/>
      <c r="H1163" s="13">
        <f t="shared" si="37"/>
        <v>50.694</v>
      </c>
      <c r="I1163" s="11">
        <v>7</v>
      </c>
    </row>
    <row r="1164" ht="24" customHeight="1" spans="1:9">
      <c r="A1164" s="11" t="str">
        <f>"15132020217"</f>
        <v>15132020217</v>
      </c>
      <c r="B1164" s="12" t="s">
        <v>45</v>
      </c>
      <c r="C1164" s="11" t="s">
        <v>12</v>
      </c>
      <c r="D1164" s="13">
        <v>79.75</v>
      </c>
      <c r="E1164" s="13">
        <f t="shared" si="36"/>
        <v>47.85</v>
      </c>
      <c r="F1164" s="11">
        <v>2.5</v>
      </c>
      <c r="G1164" s="11"/>
      <c r="H1164" s="13">
        <f t="shared" si="37"/>
        <v>50.35</v>
      </c>
      <c r="I1164" s="11">
        <v>8</v>
      </c>
    </row>
    <row r="1165" ht="24" customHeight="1" spans="1:9">
      <c r="A1165" s="11" t="str">
        <f>"15132020214"</f>
        <v>15132020214</v>
      </c>
      <c r="B1165" s="12" t="s">
        <v>45</v>
      </c>
      <c r="C1165" s="11" t="s">
        <v>11</v>
      </c>
      <c r="D1165" s="13">
        <v>83.73</v>
      </c>
      <c r="E1165" s="13">
        <f t="shared" si="36"/>
        <v>50.238</v>
      </c>
      <c r="F1165" s="11"/>
      <c r="G1165" s="11"/>
      <c r="H1165" s="13">
        <f t="shared" si="37"/>
        <v>50.238</v>
      </c>
      <c r="I1165" s="11">
        <v>9</v>
      </c>
    </row>
    <row r="1166" ht="24" customHeight="1" spans="1:9">
      <c r="A1166" s="11" t="str">
        <f>"15132020626"</f>
        <v>15132020626</v>
      </c>
      <c r="B1166" s="12" t="s">
        <v>45</v>
      </c>
      <c r="C1166" s="11" t="s">
        <v>11</v>
      </c>
      <c r="D1166" s="13">
        <v>82.06</v>
      </c>
      <c r="E1166" s="13">
        <f t="shared" si="36"/>
        <v>49.236</v>
      </c>
      <c r="F1166" s="11"/>
      <c r="G1166" s="11">
        <v>1</v>
      </c>
      <c r="H1166" s="13">
        <f t="shared" si="37"/>
        <v>50.236</v>
      </c>
      <c r="I1166" s="11">
        <v>10</v>
      </c>
    </row>
    <row r="1167" ht="24" customHeight="1" spans="1:9">
      <c r="A1167" s="11" t="str">
        <f>"15132020114"</f>
        <v>15132020114</v>
      </c>
      <c r="B1167" s="12" t="s">
        <v>45</v>
      </c>
      <c r="C1167" s="11" t="s">
        <v>11</v>
      </c>
      <c r="D1167" s="13">
        <v>83.61</v>
      </c>
      <c r="E1167" s="13">
        <f t="shared" si="36"/>
        <v>50.166</v>
      </c>
      <c r="F1167" s="11"/>
      <c r="G1167" s="11"/>
      <c r="H1167" s="13">
        <f t="shared" si="37"/>
        <v>50.166</v>
      </c>
      <c r="I1167" s="11">
        <v>11</v>
      </c>
    </row>
    <row r="1168" ht="24" customHeight="1" spans="1:9">
      <c r="A1168" s="11" t="str">
        <f>"15132020608"</f>
        <v>15132020608</v>
      </c>
      <c r="B1168" s="12" t="s">
        <v>45</v>
      </c>
      <c r="C1168" s="11" t="s">
        <v>11</v>
      </c>
      <c r="D1168" s="13">
        <v>80.66</v>
      </c>
      <c r="E1168" s="13">
        <f t="shared" si="36"/>
        <v>48.396</v>
      </c>
      <c r="F1168" s="11"/>
      <c r="G1168" s="11">
        <v>1.5</v>
      </c>
      <c r="H1168" s="13">
        <f t="shared" si="37"/>
        <v>49.896</v>
      </c>
      <c r="I1168" s="11">
        <v>12</v>
      </c>
    </row>
    <row r="1169" ht="24" customHeight="1" spans="1:9">
      <c r="A1169" s="11" t="str">
        <f>"15132020109"</f>
        <v>15132020109</v>
      </c>
      <c r="B1169" s="12" t="s">
        <v>45</v>
      </c>
      <c r="C1169" s="11" t="s">
        <v>11</v>
      </c>
      <c r="D1169" s="13">
        <v>83.08</v>
      </c>
      <c r="E1169" s="13">
        <f t="shared" si="36"/>
        <v>49.848</v>
      </c>
      <c r="F1169" s="11"/>
      <c r="G1169" s="11"/>
      <c r="H1169" s="13">
        <f t="shared" si="37"/>
        <v>49.848</v>
      </c>
      <c r="I1169" s="11">
        <v>13</v>
      </c>
    </row>
    <row r="1170" ht="24" customHeight="1" spans="1:9">
      <c r="A1170" s="11" t="str">
        <f>"15132020210"</f>
        <v>15132020210</v>
      </c>
      <c r="B1170" s="12" t="s">
        <v>45</v>
      </c>
      <c r="C1170" s="11" t="s">
        <v>11</v>
      </c>
      <c r="D1170" s="13">
        <v>82.96</v>
      </c>
      <c r="E1170" s="13">
        <f t="shared" si="36"/>
        <v>49.776</v>
      </c>
      <c r="F1170" s="11"/>
      <c r="G1170" s="11"/>
      <c r="H1170" s="13">
        <f t="shared" si="37"/>
        <v>49.776</v>
      </c>
      <c r="I1170" s="11">
        <v>14</v>
      </c>
    </row>
    <row r="1171" ht="24" customHeight="1" spans="1:9">
      <c r="A1171" s="11" t="str">
        <f>"15132020208"</f>
        <v>15132020208</v>
      </c>
      <c r="B1171" s="12" t="s">
        <v>45</v>
      </c>
      <c r="C1171" s="11" t="s">
        <v>12</v>
      </c>
      <c r="D1171" s="13">
        <v>77.82</v>
      </c>
      <c r="E1171" s="13">
        <f t="shared" si="36"/>
        <v>46.692</v>
      </c>
      <c r="F1171" s="11">
        <v>2.5</v>
      </c>
      <c r="G1171" s="11"/>
      <c r="H1171" s="13">
        <f t="shared" si="37"/>
        <v>49.192</v>
      </c>
      <c r="I1171" s="11">
        <v>15</v>
      </c>
    </row>
    <row r="1172" ht="24" customHeight="1" spans="1:9">
      <c r="A1172" s="11" t="str">
        <f>"15132020216"</f>
        <v>15132020216</v>
      </c>
      <c r="B1172" s="12" t="s">
        <v>45</v>
      </c>
      <c r="C1172" s="11" t="s">
        <v>11</v>
      </c>
      <c r="D1172" s="13">
        <v>81.94</v>
      </c>
      <c r="E1172" s="13">
        <f t="shared" si="36"/>
        <v>49.164</v>
      </c>
      <c r="F1172" s="11"/>
      <c r="G1172" s="11"/>
      <c r="H1172" s="13">
        <f t="shared" si="37"/>
        <v>49.164</v>
      </c>
      <c r="I1172" s="11">
        <v>16</v>
      </c>
    </row>
    <row r="1173" ht="24" customHeight="1" spans="1:9">
      <c r="A1173" s="11" t="str">
        <f>"15132020224"</f>
        <v>15132020224</v>
      </c>
      <c r="B1173" s="12" t="s">
        <v>45</v>
      </c>
      <c r="C1173" s="11" t="s">
        <v>11</v>
      </c>
      <c r="D1173" s="13">
        <v>81.8</v>
      </c>
      <c r="E1173" s="13">
        <f t="shared" si="36"/>
        <v>49.08</v>
      </c>
      <c r="F1173" s="11"/>
      <c r="G1173" s="11"/>
      <c r="H1173" s="13">
        <f t="shared" si="37"/>
        <v>49.08</v>
      </c>
      <c r="I1173" s="11">
        <v>17</v>
      </c>
    </row>
    <row r="1174" ht="24" customHeight="1" spans="1:9">
      <c r="A1174" s="11" t="str">
        <f>"15132020128"</f>
        <v>15132020128</v>
      </c>
      <c r="B1174" s="12" t="s">
        <v>45</v>
      </c>
      <c r="C1174" s="11" t="s">
        <v>11</v>
      </c>
      <c r="D1174" s="13">
        <v>81.79</v>
      </c>
      <c r="E1174" s="13">
        <f t="shared" si="36"/>
        <v>49.074</v>
      </c>
      <c r="F1174" s="11"/>
      <c r="G1174" s="11"/>
      <c r="H1174" s="13">
        <f t="shared" si="37"/>
        <v>49.074</v>
      </c>
      <c r="I1174" s="11">
        <v>18</v>
      </c>
    </row>
    <row r="1175" ht="24" customHeight="1" spans="1:9">
      <c r="A1175" s="11" t="str">
        <f>"15132020715"</f>
        <v>15132020715</v>
      </c>
      <c r="B1175" s="12" t="s">
        <v>45</v>
      </c>
      <c r="C1175" s="11" t="s">
        <v>11</v>
      </c>
      <c r="D1175" s="13">
        <v>81.56</v>
      </c>
      <c r="E1175" s="13">
        <f t="shared" si="36"/>
        <v>48.936</v>
      </c>
      <c r="F1175" s="11"/>
      <c r="G1175" s="11"/>
      <c r="H1175" s="13">
        <f t="shared" si="37"/>
        <v>48.936</v>
      </c>
      <c r="I1175" s="11">
        <v>19</v>
      </c>
    </row>
    <row r="1176" ht="24" customHeight="1" spans="1:9">
      <c r="A1176" s="11" t="str">
        <f>"15132020909"</f>
        <v>15132020909</v>
      </c>
      <c r="B1176" s="12" t="s">
        <v>45</v>
      </c>
      <c r="C1176" s="11" t="s">
        <v>11</v>
      </c>
      <c r="D1176" s="13">
        <v>81.55</v>
      </c>
      <c r="E1176" s="13">
        <f t="shared" si="36"/>
        <v>48.93</v>
      </c>
      <c r="F1176" s="11"/>
      <c r="G1176" s="11"/>
      <c r="H1176" s="13">
        <f t="shared" si="37"/>
        <v>48.93</v>
      </c>
      <c r="I1176" s="11">
        <v>20</v>
      </c>
    </row>
    <row r="1177" ht="24" customHeight="1" spans="1:9">
      <c r="A1177" s="11" t="str">
        <f>"15132020220"</f>
        <v>15132020220</v>
      </c>
      <c r="B1177" s="12" t="s">
        <v>45</v>
      </c>
      <c r="C1177" s="11" t="s">
        <v>11</v>
      </c>
      <c r="D1177" s="13">
        <v>81.54</v>
      </c>
      <c r="E1177" s="13">
        <f t="shared" si="36"/>
        <v>48.924</v>
      </c>
      <c r="F1177" s="11"/>
      <c r="G1177" s="11"/>
      <c r="H1177" s="13">
        <f t="shared" si="37"/>
        <v>48.924</v>
      </c>
      <c r="I1177" s="11">
        <v>21</v>
      </c>
    </row>
    <row r="1178" ht="24" customHeight="1" spans="1:9">
      <c r="A1178" s="11" t="str">
        <f>"15132020313"</f>
        <v>15132020313</v>
      </c>
      <c r="B1178" s="12" t="s">
        <v>45</v>
      </c>
      <c r="C1178" s="11" t="s">
        <v>11</v>
      </c>
      <c r="D1178" s="13">
        <v>81.3</v>
      </c>
      <c r="E1178" s="13">
        <f t="shared" si="36"/>
        <v>48.78</v>
      </c>
      <c r="F1178" s="11"/>
      <c r="G1178" s="11"/>
      <c r="H1178" s="13">
        <f t="shared" si="37"/>
        <v>48.78</v>
      </c>
      <c r="I1178" s="11">
        <v>22</v>
      </c>
    </row>
    <row r="1179" ht="24" customHeight="1" spans="1:9">
      <c r="A1179" s="11" t="str">
        <f>"15132020720"</f>
        <v>15132020720</v>
      </c>
      <c r="B1179" s="12" t="s">
        <v>45</v>
      </c>
      <c r="C1179" s="11" t="s">
        <v>11</v>
      </c>
      <c r="D1179" s="13">
        <v>81.29</v>
      </c>
      <c r="E1179" s="13">
        <f t="shared" si="36"/>
        <v>48.774</v>
      </c>
      <c r="F1179" s="11"/>
      <c r="G1179" s="11"/>
      <c r="H1179" s="13">
        <f t="shared" si="37"/>
        <v>48.774</v>
      </c>
      <c r="I1179" s="11">
        <v>23</v>
      </c>
    </row>
    <row r="1180" ht="24" customHeight="1" spans="1:9">
      <c r="A1180" s="11" t="str">
        <f>"15132020110"</f>
        <v>15132020110</v>
      </c>
      <c r="B1180" s="12" t="s">
        <v>45</v>
      </c>
      <c r="C1180" s="11" t="s">
        <v>11</v>
      </c>
      <c r="D1180" s="13">
        <v>81.17</v>
      </c>
      <c r="E1180" s="13">
        <f t="shared" si="36"/>
        <v>48.702</v>
      </c>
      <c r="F1180" s="11"/>
      <c r="G1180" s="11"/>
      <c r="H1180" s="13">
        <f t="shared" si="37"/>
        <v>48.702</v>
      </c>
      <c r="I1180" s="11">
        <v>24</v>
      </c>
    </row>
    <row r="1181" ht="24" customHeight="1" spans="1:9">
      <c r="A1181" s="11" t="str">
        <f>"15132020805"</f>
        <v>15132020805</v>
      </c>
      <c r="B1181" s="12" t="s">
        <v>45</v>
      </c>
      <c r="C1181" s="11" t="s">
        <v>11</v>
      </c>
      <c r="D1181" s="13">
        <v>81.16</v>
      </c>
      <c r="E1181" s="13">
        <f t="shared" si="36"/>
        <v>48.696</v>
      </c>
      <c r="F1181" s="11"/>
      <c r="G1181" s="11"/>
      <c r="H1181" s="13">
        <f t="shared" si="37"/>
        <v>48.696</v>
      </c>
      <c r="I1181" s="11">
        <v>25</v>
      </c>
    </row>
    <row r="1182" ht="24" customHeight="1" spans="1:9">
      <c r="A1182" s="11" t="str">
        <f>"15132020230"</f>
        <v>15132020230</v>
      </c>
      <c r="B1182" s="12" t="s">
        <v>45</v>
      </c>
      <c r="C1182" s="11" t="s">
        <v>12</v>
      </c>
      <c r="D1182" s="13">
        <v>76.68</v>
      </c>
      <c r="E1182" s="13">
        <f t="shared" si="36"/>
        <v>46.008</v>
      </c>
      <c r="F1182" s="11">
        <v>2.5</v>
      </c>
      <c r="G1182" s="11"/>
      <c r="H1182" s="13">
        <f t="shared" si="37"/>
        <v>48.508</v>
      </c>
      <c r="I1182" s="11">
        <v>26</v>
      </c>
    </row>
    <row r="1183" ht="24" customHeight="1" spans="1:9">
      <c r="A1183" s="11" t="str">
        <f>"15132020525"</f>
        <v>15132020525</v>
      </c>
      <c r="B1183" s="12" t="s">
        <v>45</v>
      </c>
      <c r="C1183" s="11" t="s">
        <v>11</v>
      </c>
      <c r="D1183" s="13">
        <v>80.53</v>
      </c>
      <c r="E1183" s="13">
        <f t="shared" si="36"/>
        <v>48.318</v>
      </c>
      <c r="F1183" s="11"/>
      <c r="G1183" s="11"/>
      <c r="H1183" s="13">
        <f t="shared" si="37"/>
        <v>48.318</v>
      </c>
      <c r="I1183" s="11">
        <v>27</v>
      </c>
    </row>
    <row r="1184" ht="24" customHeight="1" spans="1:9">
      <c r="A1184" s="11" t="str">
        <f>"15132020630"</f>
        <v>15132020630</v>
      </c>
      <c r="B1184" s="12" t="s">
        <v>45</v>
      </c>
      <c r="C1184" s="11" t="s">
        <v>11</v>
      </c>
      <c r="D1184" s="13">
        <v>80.53</v>
      </c>
      <c r="E1184" s="13">
        <f t="shared" si="36"/>
        <v>48.318</v>
      </c>
      <c r="F1184" s="11"/>
      <c r="G1184" s="11"/>
      <c r="H1184" s="13">
        <f t="shared" si="37"/>
        <v>48.318</v>
      </c>
      <c r="I1184" s="11">
        <v>28</v>
      </c>
    </row>
    <row r="1185" ht="24" customHeight="1" spans="1:9">
      <c r="A1185" s="11" t="str">
        <f>"15132020908"</f>
        <v>15132020908</v>
      </c>
      <c r="B1185" s="12" t="s">
        <v>45</v>
      </c>
      <c r="C1185" s="11" t="s">
        <v>11</v>
      </c>
      <c r="D1185" s="13">
        <v>80.51</v>
      </c>
      <c r="E1185" s="13">
        <f t="shared" si="36"/>
        <v>48.306</v>
      </c>
      <c r="F1185" s="11"/>
      <c r="G1185" s="11"/>
      <c r="H1185" s="13">
        <f t="shared" si="37"/>
        <v>48.306</v>
      </c>
      <c r="I1185" s="11">
        <v>29</v>
      </c>
    </row>
    <row r="1186" ht="24" customHeight="1" spans="1:9">
      <c r="A1186" s="11" t="str">
        <f>"15132020117"</f>
        <v>15132020117</v>
      </c>
      <c r="B1186" s="12" t="s">
        <v>45</v>
      </c>
      <c r="C1186" s="11" t="s">
        <v>11</v>
      </c>
      <c r="D1186" s="13">
        <v>80.26</v>
      </c>
      <c r="E1186" s="13">
        <f t="shared" si="36"/>
        <v>48.156</v>
      </c>
      <c r="F1186" s="11"/>
      <c r="G1186" s="11"/>
      <c r="H1186" s="13">
        <f t="shared" si="37"/>
        <v>48.156</v>
      </c>
      <c r="I1186" s="11">
        <v>30</v>
      </c>
    </row>
    <row r="1187" ht="24" customHeight="1" spans="1:9">
      <c r="A1187" s="11" t="str">
        <f>"15132020826"</f>
        <v>15132020826</v>
      </c>
      <c r="B1187" s="12" t="s">
        <v>45</v>
      </c>
      <c r="C1187" s="11" t="s">
        <v>11</v>
      </c>
      <c r="D1187" s="13">
        <v>80.26</v>
      </c>
      <c r="E1187" s="13">
        <f t="shared" si="36"/>
        <v>48.156</v>
      </c>
      <c r="F1187" s="11"/>
      <c r="G1187" s="11"/>
      <c r="H1187" s="13">
        <f t="shared" si="37"/>
        <v>48.156</v>
      </c>
      <c r="I1187" s="11">
        <v>31</v>
      </c>
    </row>
    <row r="1188" ht="24" customHeight="1" spans="1:9">
      <c r="A1188" s="11" t="str">
        <f>"15132020129"</f>
        <v>15132020129</v>
      </c>
      <c r="B1188" s="12" t="s">
        <v>45</v>
      </c>
      <c r="C1188" s="11" t="s">
        <v>11</v>
      </c>
      <c r="D1188" s="13">
        <v>80.14</v>
      </c>
      <c r="E1188" s="13">
        <f t="shared" si="36"/>
        <v>48.084</v>
      </c>
      <c r="F1188" s="11"/>
      <c r="G1188" s="11"/>
      <c r="H1188" s="13">
        <f t="shared" si="37"/>
        <v>48.084</v>
      </c>
      <c r="I1188" s="11">
        <v>32</v>
      </c>
    </row>
    <row r="1189" ht="24" customHeight="1" spans="1:9">
      <c r="A1189" s="11" t="str">
        <f>"15132020613"</f>
        <v>15132020613</v>
      </c>
      <c r="B1189" s="12" t="s">
        <v>45</v>
      </c>
      <c r="C1189" s="11" t="s">
        <v>11</v>
      </c>
      <c r="D1189" s="13">
        <v>80.14</v>
      </c>
      <c r="E1189" s="13">
        <f t="shared" si="36"/>
        <v>48.084</v>
      </c>
      <c r="F1189" s="11"/>
      <c r="G1189" s="11"/>
      <c r="H1189" s="13">
        <f t="shared" si="37"/>
        <v>48.084</v>
      </c>
      <c r="I1189" s="11">
        <v>33</v>
      </c>
    </row>
    <row r="1190" ht="24" customHeight="1" spans="1:9">
      <c r="A1190" s="14" t="str">
        <f>"15132020417"</f>
        <v>15132020417</v>
      </c>
      <c r="B1190" s="15" t="s">
        <v>45</v>
      </c>
      <c r="C1190" s="14" t="s">
        <v>11</v>
      </c>
      <c r="D1190" s="16">
        <v>80</v>
      </c>
      <c r="E1190" s="16">
        <f t="shared" si="36"/>
        <v>48</v>
      </c>
      <c r="F1190" s="14"/>
      <c r="G1190" s="14"/>
      <c r="H1190" s="16">
        <f t="shared" si="37"/>
        <v>48</v>
      </c>
      <c r="I1190" s="14">
        <v>34</v>
      </c>
    </row>
    <row r="1191" ht="24" customHeight="1" spans="1:9">
      <c r="A1191" s="14" t="str">
        <f>"15132020521"</f>
        <v>15132020521</v>
      </c>
      <c r="B1191" s="15" t="s">
        <v>45</v>
      </c>
      <c r="C1191" s="14" t="s">
        <v>11</v>
      </c>
      <c r="D1191" s="16">
        <v>79.88</v>
      </c>
      <c r="E1191" s="16">
        <f t="shared" si="36"/>
        <v>47.928</v>
      </c>
      <c r="F1191" s="14"/>
      <c r="G1191" s="14"/>
      <c r="H1191" s="16">
        <f t="shared" si="37"/>
        <v>47.928</v>
      </c>
      <c r="I1191" s="14">
        <v>35</v>
      </c>
    </row>
    <row r="1192" ht="24" customHeight="1" spans="1:9">
      <c r="A1192" s="14" t="str">
        <f>"15132020727"</f>
        <v>15132020727</v>
      </c>
      <c r="B1192" s="15" t="s">
        <v>45</v>
      </c>
      <c r="C1192" s="14" t="s">
        <v>11</v>
      </c>
      <c r="D1192" s="16">
        <v>79.88</v>
      </c>
      <c r="E1192" s="16">
        <f t="shared" si="36"/>
        <v>47.928</v>
      </c>
      <c r="F1192" s="14"/>
      <c r="G1192" s="14"/>
      <c r="H1192" s="16">
        <f t="shared" si="37"/>
        <v>47.928</v>
      </c>
      <c r="I1192" s="14">
        <v>36</v>
      </c>
    </row>
    <row r="1193" ht="24" customHeight="1" spans="1:9">
      <c r="A1193" s="14" t="str">
        <f>"15132020303"</f>
        <v>15132020303</v>
      </c>
      <c r="B1193" s="15" t="s">
        <v>45</v>
      </c>
      <c r="C1193" s="14" t="s">
        <v>11</v>
      </c>
      <c r="D1193" s="16">
        <v>78.21</v>
      </c>
      <c r="E1193" s="16">
        <f t="shared" si="36"/>
        <v>46.926</v>
      </c>
      <c r="F1193" s="14"/>
      <c r="G1193" s="14">
        <v>1</v>
      </c>
      <c r="H1193" s="16">
        <f t="shared" si="37"/>
        <v>47.926</v>
      </c>
      <c r="I1193" s="14">
        <v>37</v>
      </c>
    </row>
    <row r="1194" ht="24" customHeight="1" spans="1:9">
      <c r="A1194" s="14" t="str">
        <f>"15132020325"</f>
        <v>15132020325</v>
      </c>
      <c r="B1194" s="15" t="s">
        <v>45</v>
      </c>
      <c r="C1194" s="14" t="s">
        <v>11</v>
      </c>
      <c r="D1194" s="16">
        <v>77.3</v>
      </c>
      <c r="E1194" s="16">
        <f t="shared" si="36"/>
        <v>46.38</v>
      </c>
      <c r="F1194" s="14"/>
      <c r="G1194" s="14">
        <v>1.5</v>
      </c>
      <c r="H1194" s="16">
        <f t="shared" si="37"/>
        <v>47.88</v>
      </c>
      <c r="I1194" s="14">
        <v>38</v>
      </c>
    </row>
    <row r="1195" ht="24" customHeight="1" spans="1:9">
      <c r="A1195" s="14" t="str">
        <f>"15132020126"</f>
        <v>15132020126</v>
      </c>
      <c r="B1195" s="15" t="s">
        <v>45</v>
      </c>
      <c r="C1195" s="14" t="s">
        <v>11</v>
      </c>
      <c r="D1195" s="16">
        <v>79.76</v>
      </c>
      <c r="E1195" s="16">
        <f t="shared" si="36"/>
        <v>47.856</v>
      </c>
      <c r="F1195" s="14"/>
      <c r="G1195" s="14"/>
      <c r="H1195" s="16">
        <f t="shared" si="37"/>
        <v>47.856</v>
      </c>
      <c r="I1195" s="14">
        <v>39</v>
      </c>
    </row>
    <row r="1196" ht="24" customHeight="1" spans="1:9">
      <c r="A1196" s="14" t="str">
        <f>"15132020511"</f>
        <v>15132020511</v>
      </c>
      <c r="B1196" s="15" t="s">
        <v>45</v>
      </c>
      <c r="C1196" s="14" t="s">
        <v>12</v>
      </c>
      <c r="D1196" s="16">
        <v>75.53</v>
      </c>
      <c r="E1196" s="16">
        <f t="shared" si="36"/>
        <v>45.318</v>
      </c>
      <c r="F1196" s="14">
        <v>2.5</v>
      </c>
      <c r="G1196" s="14"/>
      <c r="H1196" s="16">
        <f t="shared" si="37"/>
        <v>47.818</v>
      </c>
      <c r="I1196" s="14">
        <v>40</v>
      </c>
    </row>
    <row r="1197" ht="24" customHeight="1" spans="1:9">
      <c r="A1197" s="14" t="str">
        <f>"15132020111"</f>
        <v>15132020111</v>
      </c>
      <c r="B1197" s="15" t="s">
        <v>45</v>
      </c>
      <c r="C1197" s="14" t="s">
        <v>11</v>
      </c>
      <c r="D1197" s="16">
        <v>79.49</v>
      </c>
      <c r="E1197" s="16">
        <f t="shared" si="36"/>
        <v>47.694</v>
      </c>
      <c r="F1197" s="14"/>
      <c r="G1197" s="14"/>
      <c r="H1197" s="16">
        <f t="shared" si="37"/>
        <v>47.694</v>
      </c>
      <c r="I1197" s="14">
        <v>41</v>
      </c>
    </row>
    <row r="1198" ht="24" customHeight="1" spans="1:9">
      <c r="A1198" s="14" t="str">
        <f>"15132020802"</f>
        <v>15132020802</v>
      </c>
      <c r="B1198" s="15" t="s">
        <v>45</v>
      </c>
      <c r="C1198" s="14" t="s">
        <v>11</v>
      </c>
      <c r="D1198" s="16">
        <v>79.35</v>
      </c>
      <c r="E1198" s="16">
        <f t="shared" si="36"/>
        <v>47.61</v>
      </c>
      <c r="F1198" s="14"/>
      <c r="G1198" s="14"/>
      <c r="H1198" s="16">
        <f t="shared" si="37"/>
        <v>47.61</v>
      </c>
      <c r="I1198" s="14">
        <v>42</v>
      </c>
    </row>
    <row r="1199" ht="24" customHeight="1" spans="1:9">
      <c r="A1199" s="14" t="str">
        <f>"15132020108"</f>
        <v>15132020108</v>
      </c>
      <c r="B1199" s="15" t="s">
        <v>45</v>
      </c>
      <c r="C1199" s="14" t="s">
        <v>11</v>
      </c>
      <c r="D1199" s="16">
        <v>79.23</v>
      </c>
      <c r="E1199" s="16">
        <f t="shared" si="36"/>
        <v>47.538</v>
      </c>
      <c r="F1199" s="14"/>
      <c r="G1199" s="14"/>
      <c r="H1199" s="16">
        <f t="shared" si="37"/>
        <v>47.538</v>
      </c>
      <c r="I1199" s="14">
        <v>43</v>
      </c>
    </row>
    <row r="1200" ht="24" customHeight="1" spans="1:9">
      <c r="A1200" s="14" t="str">
        <f>"15132020121"</f>
        <v>15132020121</v>
      </c>
      <c r="B1200" s="15" t="s">
        <v>45</v>
      </c>
      <c r="C1200" s="14" t="s">
        <v>11</v>
      </c>
      <c r="D1200" s="16">
        <v>79.23</v>
      </c>
      <c r="E1200" s="16">
        <f t="shared" si="36"/>
        <v>47.538</v>
      </c>
      <c r="F1200" s="14"/>
      <c r="G1200" s="14"/>
      <c r="H1200" s="16">
        <f t="shared" si="37"/>
        <v>47.538</v>
      </c>
      <c r="I1200" s="14">
        <v>44</v>
      </c>
    </row>
    <row r="1201" ht="24" customHeight="1" spans="1:9">
      <c r="A1201" s="14" t="str">
        <f>"15132020604"</f>
        <v>15132020604</v>
      </c>
      <c r="B1201" s="15" t="s">
        <v>45</v>
      </c>
      <c r="C1201" s="14" t="s">
        <v>11</v>
      </c>
      <c r="D1201" s="16">
        <v>79.23</v>
      </c>
      <c r="E1201" s="16">
        <f t="shared" si="36"/>
        <v>47.538</v>
      </c>
      <c r="F1201" s="14"/>
      <c r="G1201" s="14"/>
      <c r="H1201" s="16">
        <f t="shared" si="37"/>
        <v>47.538</v>
      </c>
      <c r="I1201" s="14">
        <v>45</v>
      </c>
    </row>
    <row r="1202" ht="24" customHeight="1" spans="1:9">
      <c r="A1202" s="14" t="str">
        <f>"15132020203"</f>
        <v>15132020203</v>
      </c>
      <c r="B1202" s="15" t="s">
        <v>45</v>
      </c>
      <c r="C1202" s="14" t="s">
        <v>11</v>
      </c>
      <c r="D1202" s="16">
        <v>79.13</v>
      </c>
      <c r="E1202" s="16">
        <f t="shared" si="36"/>
        <v>47.478</v>
      </c>
      <c r="F1202" s="14"/>
      <c r="G1202" s="14"/>
      <c r="H1202" s="16">
        <f t="shared" si="37"/>
        <v>47.478</v>
      </c>
      <c r="I1202" s="14">
        <v>46</v>
      </c>
    </row>
    <row r="1203" ht="24" customHeight="1" spans="1:9">
      <c r="A1203" s="14" t="str">
        <f>"15132020102"</f>
        <v>15132020102</v>
      </c>
      <c r="B1203" s="15" t="s">
        <v>45</v>
      </c>
      <c r="C1203" s="14" t="s">
        <v>11</v>
      </c>
      <c r="D1203" s="16">
        <v>79.12</v>
      </c>
      <c r="E1203" s="16">
        <f t="shared" si="36"/>
        <v>47.472</v>
      </c>
      <c r="F1203" s="14"/>
      <c r="G1203" s="14"/>
      <c r="H1203" s="16">
        <f t="shared" si="37"/>
        <v>47.472</v>
      </c>
      <c r="I1203" s="14">
        <v>47</v>
      </c>
    </row>
    <row r="1204" ht="24" customHeight="1" spans="1:9">
      <c r="A1204" s="14" t="str">
        <f>"15132020603"</f>
        <v>15132020603</v>
      </c>
      <c r="B1204" s="15" t="s">
        <v>45</v>
      </c>
      <c r="C1204" s="14" t="s">
        <v>11</v>
      </c>
      <c r="D1204" s="16">
        <v>78.99</v>
      </c>
      <c r="E1204" s="16">
        <f t="shared" si="36"/>
        <v>47.394</v>
      </c>
      <c r="F1204" s="14"/>
      <c r="G1204" s="14"/>
      <c r="H1204" s="16">
        <f t="shared" si="37"/>
        <v>47.394</v>
      </c>
      <c r="I1204" s="14">
        <v>48</v>
      </c>
    </row>
    <row r="1205" ht="24" customHeight="1" spans="1:9">
      <c r="A1205" s="14" t="str">
        <f>"15132020710"</f>
        <v>15132020710</v>
      </c>
      <c r="B1205" s="15" t="s">
        <v>45</v>
      </c>
      <c r="C1205" s="14" t="s">
        <v>11</v>
      </c>
      <c r="D1205" s="16">
        <v>78.99</v>
      </c>
      <c r="E1205" s="16">
        <f t="shared" si="36"/>
        <v>47.394</v>
      </c>
      <c r="F1205" s="14"/>
      <c r="G1205" s="14"/>
      <c r="H1205" s="16">
        <f t="shared" si="37"/>
        <v>47.394</v>
      </c>
      <c r="I1205" s="14">
        <v>49</v>
      </c>
    </row>
    <row r="1206" ht="24" customHeight="1" spans="1:9">
      <c r="A1206" s="14" t="str">
        <f>"15132020309"</f>
        <v>15132020309</v>
      </c>
      <c r="B1206" s="15" t="s">
        <v>45</v>
      </c>
      <c r="C1206" s="14" t="s">
        <v>11</v>
      </c>
      <c r="D1206" s="16">
        <v>78.87</v>
      </c>
      <c r="E1206" s="16">
        <f t="shared" si="36"/>
        <v>47.322</v>
      </c>
      <c r="F1206" s="14"/>
      <c r="G1206" s="14"/>
      <c r="H1206" s="16">
        <f t="shared" si="37"/>
        <v>47.322</v>
      </c>
      <c r="I1206" s="14">
        <v>50</v>
      </c>
    </row>
    <row r="1207" ht="24" customHeight="1" spans="1:9">
      <c r="A1207" s="14" t="str">
        <f>"15132021004"</f>
        <v>15132021004</v>
      </c>
      <c r="B1207" s="15" t="s">
        <v>45</v>
      </c>
      <c r="C1207" s="14" t="s">
        <v>11</v>
      </c>
      <c r="D1207" s="16">
        <v>78.86</v>
      </c>
      <c r="E1207" s="16">
        <f t="shared" si="36"/>
        <v>47.316</v>
      </c>
      <c r="F1207" s="14"/>
      <c r="G1207" s="14"/>
      <c r="H1207" s="16">
        <f t="shared" si="37"/>
        <v>47.316</v>
      </c>
      <c r="I1207" s="14">
        <v>51</v>
      </c>
    </row>
    <row r="1208" ht="24" customHeight="1" spans="1:9">
      <c r="A1208" s="14" t="str">
        <f>"15132020712"</f>
        <v>15132020712</v>
      </c>
      <c r="B1208" s="15" t="s">
        <v>45</v>
      </c>
      <c r="C1208" s="14" t="s">
        <v>11</v>
      </c>
      <c r="D1208" s="16">
        <v>78.46</v>
      </c>
      <c r="E1208" s="16">
        <f t="shared" si="36"/>
        <v>47.076</v>
      </c>
      <c r="F1208" s="14"/>
      <c r="G1208" s="14"/>
      <c r="H1208" s="16">
        <f t="shared" si="37"/>
        <v>47.076</v>
      </c>
      <c r="I1208" s="14">
        <v>52</v>
      </c>
    </row>
    <row r="1209" ht="24" customHeight="1" spans="1:9">
      <c r="A1209" s="14" t="str">
        <f>"15132020529"</f>
        <v>15132020529</v>
      </c>
      <c r="B1209" s="15" t="s">
        <v>45</v>
      </c>
      <c r="C1209" s="14" t="s">
        <v>11</v>
      </c>
      <c r="D1209" s="16">
        <v>78.36</v>
      </c>
      <c r="E1209" s="16">
        <f t="shared" si="36"/>
        <v>47.016</v>
      </c>
      <c r="F1209" s="14"/>
      <c r="G1209" s="14"/>
      <c r="H1209" s="16">
        <f t="shared" si="37"/>
        <v>47.016</v>
      </c>
      <c r="I1209" s="14">
        <v>53</v>
      </c>
    </row>
    <row r="1210" ht="24" customHeight="1" spans="1:9">
      <c r="A1210" s="14" t="str">
        <f>"15132020116"</f>
        <v>15132020116</v>
      </c>
      <c r="B1210" s="15" t="s">
        <v>45</v>
      </c>
      <c r="C1210" s="14" t="s">
        <v>11</v>
      </c>
      <c r="D1210" s="16">
        <v>78.33</v>
      </c>
      <c r="E1210" s="16">
        <f t="shared" si="36"/>
        <v>46.998</v>
      </c>
      <c r="F1210" s="14"/>
      <c r="G1210" s="14"/>
      <c r="H1210" s="16">
        <f t="shared" si="37"/>
        <v>46.998</v>
      </c>
      <c r="I1210" s="14">
        <v>54</v>
      </c>
    </row>
    <row r="1211" ht="24" customHeight="1" spans="1:9">
      <c r="A1211" s="14" t="str">
        <f>"15132020928"</f>
        <v>15132020928</v>
      </c>
      <c r="B1211" s="15" t="s">
        <v>45</v>
      </c>
      <c r="C1211" s="14" t="s">
        <v>11</v>
      </c>
      <c r="D1211" s="16">
        <v>78.2</v>
      </c>
      <c r="E1211" s="16">
        <f t="shared" si="36"/>
        <v>46.92</v>
      </c>
      <c r="F1211" s="14"/>
      <c r="G1211" s="14"/>
      <c r="H1211" s="16">
        <f t="shared" si="37"/>
        <v>46.92</v>
      </c>
      <c r="I1211" s="14">
        <v>55</v>
      </c>
    </row>
    <row r="1212" ht="24" customHeight="1" spans="1:9">
      <c r="A1212" s="14" t="str">
        <f>"15132020704"</f>
        <v>15132020704</v>
      </c>
      <c r="B1212" s="15" t="s">
        <v>45</v>
      </c>
      <c r="C1212" s="14" t="s">
        <v>11</v>
      </c>
      <c r="D1212" s="16">
        <v>77.95</v>
      </c>
      <c r="E1212" s="16">
        <f t="shared" si="36"/>
        <v>46.77</v>
      </c>
      <c r="F1212" s="14"/>
      <c r="G1212" s="14"/>
      <c r="H1212" s="16">
        <f t="shared" si="37"/>
        <v>46.77</v>
      </c>
      <c r="I1212" s="14">
        <v>56</v>
      </c>
    </row>
    <row r="1213" ht="24" customHeight="1" spans="1:9">
      <c r="A1213" s="14" t="str">
        <f>"15132020728"</f>
        <v>15132020728</v>
      </c>
      <c r="B1213" s="15" t="s">
        <v>45</v>
      </c>
      <c r="C1213" s="14" t="s">
        <v>11</v>
      </c>
      <c r="D1213" s="16">
        <v>77.95</v>
      </c>
      <c r="E1213" s="16">
        <f t="shared" si="36"/>
        <v>46.77</v>
      </c>
      <c r="F1213" s="14"/>
      <c r="G1213" s="14"/>
      <c r="H1213" s="16">
        <f t="shared" si="37"/>
        <v>46.77</v>
      </c>
      <c r="I1213" s="14">
        <v>57</v>
      </c>
    </row>
    <row r="1214" ht="24" customHeight="1" spans="1:9">
      <c r="A1214" s="14" t="str">
        <f>"15132020622"</f>
        <v>15132020622</v>
      </c>
      <c r="B1214" s="15" t="s">
        <v>45</v>
      </c>
      <c r="C1214" s="14" t="s">
        <v>11</v>
      </c>
      <c r="D1214" s="16">
        <v>77.82</v>
      </c>
      <c r="E1214" s="16">
        <f t="shared" si="36"/>
        <v>46.692</v>
      </c>
      <c r="F1214" s="14"/>
      <c r="G1214" s="14"/>
      <c r="H1214" s="16">
        <f t="shared" si="37"/>
        <v>46.692</v>
      </c>
      <c r="I1214" s="14">
        <v>58</v>
      </c>
    </row>
    <row r="1215" ht="24" customHeight="1" spans="1:9">
      <c r="A1215" s="14" t="str">
        <f>"15132020423"</f>
        <v>15132020423</v>
      </c>
      <c r="B1215" s="15" t="s">
        <v>45</v>
      </c>
      <c r="C1215" s="14" t="s">
        <v>11</v>
      </c>
      <c r="D1215" s="16">
        <v>77.81</v>
      </c>
      <c r="E1215" s="16">
        <f t="shared" si="36"/>
        <v>46.686</v>
      </c>
      <c r="F1215" s="14"/>
      <c r="G1215" s="14"/>
      <c r="H1215" s="16">
        <f t="shared" si="37"/>
        <v>46.686</v>
      </c>
      <c r="I1215" s="14">
        <v>59</v>
      </c>
    </row>
    <row r="1216" ht="24" customHeight="1" spans="1:9">
      <c r="A1216" s="14" t="str">
        <f>"15132020806"</f>
        <v>15132020806</v>
      </c>
      <c r="B1216" s="15" t="s">
        <v>45</v>
      </c>
      <c r="C1216" s="14" t="s">
        <v>11</v>
      </c>
      <c r="D1216" s="16">
        <v>77.7</v>
      </c>
      <c r="E1216" s="16">
        <f t="shared" si="36"/>
        <v>46.62</v>
      </c>
      <c r="F1216" s="14"/>
      <c r="G1216" s="14"/>
      <c r="H1216" s="16">
        <f t="shared" si="37"/>
        <v>46.62</v>
      </c>
      <c r="I1216" s="14">
        <v>60</v>
      </c>
    </row>
    <row r="1217" ht="24" customHeight="1" spans="1:9">
      <c r="A1217" s="14" t="str">
        <f>"15132020403"</f>
        <v>15132020403</v>
      </c>
      <c r="B1217" s="15" t="s">
        <v>45</v>
      </c>
      <c r="C1217" s="14" t="s">
        <v>11</v>
      </c>
      <c r="D1217" s="16">
        <v>77.69</v>
      </c>
      <c r="E1217" s="16">
        <f t="shared" si="36"/>
        <v>46.614</v>
      </c>
      <c r="F1217" s="14"/>
      <c r="G1217" s="14"/>
      <c r="H1217" s="16">
        <f t="shared" si="37"/>
        <v>46.614</v>
      </c>
      <c r="I1217" s="14">
        <v>61</v>
      </c>
    </row>
    <row r="1218" ht="24" customHeight="1" spans="1:9">
      <c r="A1218" s="14" t="str">
        <f>"15132020518"</f>
        <v>15132020518</v>
      </c>
      <c r="B1218" s="15" t="s">
        <v>45</v>
      </c>
      <c r="C1218" s="14" t="s">
        <v>11</v>
      </c>
      <c r="D1218" s="16">
        <v>77.59</v>
      </c>
      <c r="E1218" s="16">
        <f t="shared" si="36"/>
        <v>46.554</v>
      </c>
      <c r="F1218" s="14"/>
      <c r="G1218" s="14"/>
      <c r="H1218" s="16">
        <f t="shared" si="37"/>
        <v>46.554</v>
      </c>
      <c r="I1218" s="14">
        <v>62</v>
      </c>
    </row>
    <row r="1219" ht="24" customHeight="1" spans="1:9">
      <c r="A1219" s="14" t="str">
        <f>"15132020323"</f>
        <v>15132020323</v>
      </c>
      <c r="B1219" s="15" t="s">
        <v>45</v>
      </c>
      <c r="C1219" s="14" t="s">
        <v>11</v>
      </c>
      <c r="D1219" s="16">
        <v>77.58</v>
      </c>
      <c r="E1219" s="16">
        <f t="shared" ref="E1219:E1282" si="38">D1219*0.6</f>
        <v>46.548</v>
      </c>
      <c r="F1219" s="14"/>
      <c r="G1219" s="14"/>
      <c r="H1219" s="16">
        <f t="shared" ref="H1219:H1282" si="39">SUM(E1219:G1219)</f>
        <v>46.548</v>
      </c>
      <c r="I1219" s="14">
        <v>63</v>
      </c>
    </row>
    <row r="1220" ht="24" customHeight="1" spans="1:9">
      <c r="A1220" s="14" t="str">
        <f>"15132020311"</f>
        <v>15132020311</v>
      </c>
      <c r="B1220" s="15" t="s">
        <v>45</v>
      </c>
      <c r="C1220" s="14" t="s">
        <v>11</v>
      </c>
      <c r="D1220" s="16">
        <v>77.56</v>
      </c>
      <c r="E1220" s="16">
        <f t="shared" si="38"/>
        <v>46.536</v>
      </c>
      <c r="F1220" s="14"/>
      <c r="G1220" s="14"/>
      <c r="H1220" s="16">
        <f t="shared" si="39"/>
        <v>46.536</v>
      </c>
      <c r="I1220" s="14">
        <v>64</v>
      </c>
    </row>
    <row r="1221" ht="24" customHeight="1" spans="1:9">
      <c r="A1221" s="14" t="str">
        <f>"15132020905"</f>
        <v>15132020905</v>
      </c>
      <c r="B1221" s="15" t="s">
        <v>45</v>
      </c>
      <c r="C1221" s="14" t="s">
        <v>11</v>
      </c>
      <c r="D1221" s="16">
        <v>77.21</v>
      </c>
      <c r="E1221" s="16">
        <f t="shared" si="38"/>
        <v>46.326</v>
      </c>
      <c r="F1221" s="14"/>
      <c r="G1221" s="14"/>
      <c r="H1221" s="16">
        <f t="shared" si="39"/>
        <v>46.326</v>
      </c>
      <c r="I1221" s="14">
        <v>65</v>
      </c>
    </row>
    <row r="1222" ht="24" customHeight="1" spans="1:9">
      <c r="A1222" s="14" t="str">
        <f>"15132020227"</f>
        <v>15132020227</v>
      </c>
      <c r="B1222" s="15" t="s">
        <v>45</v>
      </c>
      <c r="C1222" s="14" t="s">
        <v>11</v>
      </c>
      <c r="D1222" s="16">
        <v>77.19</v>
      </c>
      <c r="E1222" s="16">
        <f t="shared" si="38"/>
        <v>46.314</v>
      </c>
      <c r="F1222" s="14"/>
      <c r="G1222" s="14"/>
      <c r="H1222" s="16">
        <f t="shared" si="39"/>
        <v>46.314</v>
      </c>
      <c r="I1222" s="14">
        <v>66</v>
      </c>
    </row>
    <row r="1223" ht="24" customHeight="1" spans="1:9">
      <c r="A1223" s="14" t="str">
        <f>"15132020205"</f>
        <v>15132020205</v>
      </c>
      <c r="B1223" s="15" t="s">
        <v>45</v>
      </c>
      <c r="C1223" s="14" t="s">
        <v>11</v>
      </c>
      <c r="D1223" s="16">
        <v>77.17</v>
      </c>
      <c r="E1223" s="16">
        <f t="shared" si="38"/>
        <v>46.302</v>
      </c>
      <c r="F1223" s="14"/>
      <c r="G1223" s="14"/>
      <c r="H1223" s="16">
        <f t="shared" si="39"/>
        <v>46.302</v>
      </c>
      <c r="I1223" s="14">
        <v>67</v>
      </c>
    </row>
    <row r="1224" ht="24" customHeight="1" spans="1:9">
      <c r="A1224" s="14" t="str">
        <f>"15132020306"</f>
        <v>15132020306</v>
      </c>
      <c r="B1224" s="15" t="s">
        <v>45</v>
      </c>
      <c r="C1224" s="14" t="s">
        <v>11</v>
      </c>
      <c r="D1224" s="16">
        <v>77.05</v>
      </c>
      <c r="E1224" s="16">
        <f t="shared" si="38"/>
        <v>46.23</v>
      </c>
      <c r="F1224" s="14"/>
      <c r="G1224" s="14"/>
      <c r="H1224" s="16">
        <f t="shared" si="39"/>
        <v>46.23</v>
      </c>
      <c r="I1224" s="14">
        <v>68</v>
      </c>
    </row>
    <row r="1225" ht="24" customHeight="1" spans="1:9">
      <c r="A1225" s="14" t="str">
        <f>"15132020113"</f>
        <v>15132020113</v>
      </c>
      <c r="B1225" s="15" t="s">
        <v>45</v>
      </c>
      <c r="C1225" s="14" t="s">
        <v>11</v>
      </c>
      <c r="D1225" s="16">
        <v>76.93</v>
      </c>
      <c r="E1225" s="16">
        <f t="shared" si="38"/>
        <v>46.158</v>
      </c>
      <c r="F1225" s="14"/>
      <c r="G1225" s="14"/>
      <c r="H1225" s="16">
        <f t="shared" si="39"/>
        <v>46.158</v>
      </c>
      <c r="I1225" s="14">
        <v>69</v>
      </c>
    </row>
    <row r="1226" ht="24" customHeight="1" spans="1:9">
      <c r="A1226" s="14" t="str">
        <f>"15132020314"</f>
        <v>15132020314</v>
      </c>
      <c r="B1226" s="15" t="s">
        <v>45</v>
      </c>
      <c r="C1226" s="14" t="s">
        <v>11</v>
      </c>
      <c r="D1226" s="16">
        <v>76.93</v>
      </c>
      <c r="E1226" s="16">
        <f t="shared" si="38"/>
        <v>46.158</v>
      </c>
      <c r="F1226" s="14"/>
      <c r="G1226" s="14"/>
      <c r="H1226" s="16">
        <f t="shared" si="39"/>
        <v>46.158</v>
      </c>
      <c r="I1226" s="14">
        <v>70</v>
      </c>
    </row>
    <row r="1227" ht="24" customHeight="1" spans="1:9">
      <c r="A1227" s="14" t="str">
        <f>"15132020515"</f>
        <v>15132020515</v>
      </c>
      <c r="B1227" s="15" t="s">
        <v>45</v>
      </c>
      <c r="C1227" s="14" t="s">
        <v>11</v>
      </c>
      <c r="D1227" s="16">
        <v>76.55</v>
      </c>
      <c r="E1227" s="16">
        <f t="shared" si="38"/>
        <v>45.93</v>
      </c>
      <c r="F1227" s="14"/>
      <c r="G1227" s="14"/>
      <c r="H1227" s="16">
        <f t="shared" si="39"/>
        <v>45.93</v>
      </c>
      <c r="I1227" s="14">
        <v>71</v>
      </c>
    </row>
    <row r="1228" ht="24" customHeight="1" spans="1:9">
      <c r="A1228" s="14" t="str">
        <f>"15132020426"</f>
        <v>15132020426</v>
      </c>
      <c r="B1228" s="15" t="s">
        <v>45</v>
      </c>
      <c r="C1228" s="14" t="s">
        <v>11</v>
      </c>
      <c r="D1228" s="16">
        <v>76.42</v>
      </c>
      <c r="E1228" s="16">
        <f t="shared" si="38"/>
        <v>45.852</v>
      </c>
      <c r="F1228" s="14"/>
      <c r="G1228" s="14"/>
      <c r="H1228" s="16">
        <f t="shared" si="39"/>
        <v>45.852</v>
      </c>
      <c r="I1228" s="14">
        <v>72</v>
      </c>
    </row>
    <row r="1229" ht="24" customHeight="1" spans="1:9">
      <c r="A1229" s="14" t="str">
        <f>"15132020828"</f>
        <v>15132020828</v>
      </c>
      <c r="B1229" s="15" t="s">
        <v>45</v>
      </c>
      <c r="C1229" s="14" t="s">
        <v>12</v>
      </c>
      <c r="D1229" s="16">
        <v>72.18</v>
      </c>
      <c r="E1229" s="16">
        <f t="shared" si="38"/>
        <v>43.308</v>
      </c>
      <c r="F1229" s="14">
        <v>2.5</v>
      </c>
      <c r="G1229" s="14"/>
      <c r="H1229" s="16">
        <f t="shared" si="39"/>
        <v>45.808</v>
      </c>
      <c r="I1229" s="14">
        <v>73</v>
      </c>
    </row>
    <row r="1230" ht="24" customHeight="1" spans="1:9">
      <c r="A1230" s="14" t="str">
        <f>"15132020104"</f>
        <v>15132020104</v>
      </c>
      <c r="B1230" s="15" t="s">
        <v>45</v>
      </c>
      <c r="C1230" s="14" t="s">
        <v>11</v>
      </c>
      <c r="D1230" s="16">
        <v>76.15</v>
      </c>
      <c r="E1230" s="16">
        <f t="shared" si="38"/>
        <v>45.69</v>
      </c>
      <c r="F1230" s="14"/>
      <c r="G1230" s="14"/>
      <c r="H1230" s="16">
        <f t="shared" si="39"/>
        <v>45.69</v>
      </c>
      <c r="I1230" s="14">
        <v>74</v>
      </c>
    </row>
    <row r="1231" ht="24" customHeight="1" spans="1:9">
      <c r="A1231" s="14" t="str">
        <f>"15132020330"</f>
        <v>15132020330</v>
      </c>
      <c r="B1231" s="15" t="s">
        <v>45</v>
      </c>
      <c r="C1231" s="14" t="s">
        <v>11</v>
      </c>
      <c r="D1231" s="16">
        <v>76.14</v>
      </c>
      <c r="E1231" s="16">
        <f t="shared" si="38"/>
        <v>45.684</v>
      </c>
      <c r="F1231" s="14"/>
      <c r="G1231" s="14"/>
      <c r="H1231" s="16">
        <f t="shared" si="39"/>
        <v>45.684</v>
      </c>
      <c r="I1231" s="14">
        <v>75</v>
      </c>
    </row>
    <row r="1232" ht="24" customHeight="1" spans="1:10">
      <c r="A1232" s="17" t="str">
        <f>"15132020615"</f>
        <v>15132020615</v>
      </c>
      <c r="B1232" s="18" t="s">
        <v>45</v>
      </c>
      <c r="C1232" s="17" t="s">
        <v>12</v>
      </c>
      <c r="D1232" s="19">
        <v>71.67</v>
      </c>
      <c r="E1232" s="16">
        <f t="shared" si="38"/>
        <v>43.002</v>
      </c>
      <c r="F1232" s="14">
        <v>2.5</v>
      </c>
      <c r="G1232" s="17"/>
      <c r="H1232" s="16">
        <f t="shared" si="39"/>
        <v>45.502</v>
      </c>
      <c r="I1232" s="14">
        <v>76</v>
      </c>
      <c r="J1232" s="2"/>
    </row>
    <row r="1233" ht="24" customHeight="1" spans="1:9">
      <c r="A1233" s="14" t="str">
        <f>"15132020322"</f>
        <v>15132020322</v>
      </c>
      <c r="B1233" s="15" t="s">
        <v>45</v>
      </c>
      <c r="C1233" s="14" t="s">
        <v>11</v>
      </c>
      <c r="D1233" s="16">
        <v>75.78</v>
      </c>
      <c r="E1233" s="16">
        <f t="shared" si="38"/>
        <v>45.468</v>
      </c>
      <c r="F1233" s="14"/>
      <c r="G1233" s="14"/>
      <c r="H1233" s="16">
        <f t="shared" si="39"/>
        <v>45.468</v>
      </c>
      <c r="I1233" s="14">
        <v>77</v>
      </c>
    </row>
    <row r="1234" ht="24" customHeight="1" spans="1:9">
      <c r="A1234" s="14" t="str">
        <f>"15132020509"</f>
        <v>15132020509</v>
      </c>
      <c r="B1234" s="15" t="s">
        <v>45</v>
      </c>
      <c r="C1234" s="14" t="s">
        <v>11</v>
      </c>
      <c r="D1234" s="16">
        <v>75.53</v>
      </c>
      <c r="E1234" s="16">
        <f t="shared" si="38"/>
        <v>45.318</v>
      </c>
      <c r="F1234" s="14"/>
      <c r="G1234" s="14"/>
      <c r="H1234" s="16">
        <f t="shared" si="39"/>
        <v>45.318</v>
      </c>
      <c r="I1234" s="14">
        <v>78</v>
      </c>
    </row>
    <row r="1235" ht="24" customHeight="1" spans="1:9">
      <c r="A1235" s="14" t="str">
        <f>"15132020122"</f>
        <v>15132020122</v>
      </c>
      <c r="B1235" s="15" t="s">
        <v>45</v>
      </c>
      <c r="C1235" s="14" t="s">
        <v>11</v>
      </c>
      <c r="D1235" s="16">
        <v>75.5</v>
      </c>
      <c r="E1235" s="16">
        <f t="shared" si="38"/>
        <v>45.3</v>
      </c>
      <c r="F1235" s="14"/>
      <c r="G1235" s="14"/>
      <c r="H1235" s="16">
        <f t="shared" si="39"/>
        <v>45.3</v>
      </c>
      <c r="I1235" s="14">
        <v>79</v>
      </c>
    </row>
    <row r="1236" ht="24" customHeight="1" spans="1:9">
      <c r="A1236" s="14" t="str">
        <f>"15132020718"</f>
        <v>15132020718</v>
      </c>
      <c r="B1236" s="15" t="s">
        <v>45</v>
      </c>
      <c r="C1236" s="14" t="s">
        <v>11</v>
      </c>
      <c r="D1236" s="16">
        <v>75.41</v>
      </c>
      <c r="E1236" s="16">
        <f t="shared" si="38"/>
        <v>45.246</v>
      </c>
      <c r="F1236" s="14"/>
      <c r="G1236" s="14"/>
      <c r="H1236" s="16">
        <f t="shared" si="39"/>
        <v>45.246</v>
      </c>
      <c r="I1236" s="14">
        <v>80</v>
      </c>
    </row>
    <row r="1237" ht="24" customHeight="1" spans="1:9">
      <c r="A1237" s="14" t="str">
        <f>"15132021018"</f>
        <v>15132021018</v>
      </c>
      <c r="B1237" s="15" t="s">
        <v>45</v>
      </c>
      <c r="C1237" s="14" t="s">
        <v>11</v>
      </c>
      <c r="D1237" s="16">
        <v>75.39</v>
      </c>
      <c r="E1237" s="16">
        <f t="shared" si="38"/>
        <v>45.234</v>
      </c>
      <c r="F1237" s="14"/>
      <c r="G1237" s="14"/>
      <c r="H1237" s="16">
        <f t="shared" si="39"/>
        <v>45.234</v>
      </c>
      <c r="I1237" s="14">
        <v>81</v>
      </c>
    </row>
    <row r="1238" ht="24" customHeight="1" spans="1:9">
      <c r="A1238" s="14" t="str">
        <f>"15132020625"</f>
        <v>15132020625</v>
      </c>
      <c r="B1238" s="15" t="s">
        <v>45</v>
      </c>
      <c r="C1238" s="14" t="s">
        <v>11</v>
      </c>
      <c r="D1238" s="16">
        <v>75.38</v>
      </c>
      <c r="E1238" s="16">
        <f t="shared" si="38"/>
        <v>45.228</v>
      </c>
      <c r="F1238" s="14"/>
      <c r="G1238" s="14"/>
      <c r="H1238" s="16">
        <f t="shared" si="39"/>
        <v>45.228</v>
      </c>
      <c r="I1238" s="14">
        <v>82</v>
      </c>
    </row>
    <row r="1239" ht="24" customHeight="1" spans="1:9">
      <c r="A1239" s="14" t="str">
        <f>"15132020713"</f>
        <v>15132020713</v>
      </c>
      <c r="B1239" s="15" t="s">
        <v>45</v>
      </c>
      <c r="C1239" s="14" t="s">
        <v>11</v>
      </c>
      <c r="D1239" s="16">
        <v>75.38</v>
      </c>
      <c r="E1239" s="16">
        <f t="shared" si="38"/>
        <v>45.228</v>
      </c>
      <c r="F1239" s="14"/>
      <c r="G1239" s="14"/>
      <c r="H1239" s="16">
        <f t="shared" si="39"/>
        <v>45.228</v>
      </c>
      <c r="I1239" s="14">
        <v>83</v>
      </c>
    </row>
    <row r="1240" ht="24" customHeight="1" spans="1:9">
      <c r="A1240" s="14" t="str">
        <f>"15132020709"</f>
        <v>15132020709</v>
      </c>
      <c r="B1240" s="15" t="s">
        <v>45</v>
      </c>
      <c r="C1240" s="14" t="s">
        <v>12</v>
      </c>
      <c r="D1240" s="16">
        <v>71.16</v>
      </c>
      <c r="E1240" s="16">
        <f t="shared" si="38"/>
        <v>42.696</v>
      </c>
      <c r="F1240" s="14">
        <v>2.5</v>
      </c>
      <c r="G1240" s="14"/>
      <c r="H1240" s="16">
        <f t="shared" si="39"/>
        <v>45.196</v>
      </c>
      <c r="I1240" s="14">
        <v>84</v>
      </c>
    </row>
    <row r="1241" ht="24" customHeight="1" spans="1:9">
      <c r="A1241" s="14" t="str">
        <f>"15132020308"</f>
        <v>15132020308</v>
      </c>
      <c r="B1241" s="15" t="s">
        <v>45</v>
      </c>
      <c r="C1241" s="14" t="s">
        <v>11</v>
      </c>
      <c r="D1241" s="16">
        <v>75.27</v>
      </c>
      <c r="E1241" s="16">
        <f t="shared" si="38"/>
        <v>45.162</v>
      </c>
      <c r="F1241" s="14"/>
      <c r="G1241" s="14"/>
      <c r="H1241" s="16">
        <f t="shared" si="39"/>
        <v>45.162</v>
      </c>
      <c r="I1241" s="14">
        <v>85</v>
      </c>
    </row>
    <row r="1242" ht="24" customHeight="1" spans="1:9">
      <c r="A1242" s="14" t="str">
        <f>"15132020524"</f>
        <v>15132020524</v>
      </c>
      <c r="B1242" s="15" t="s">
        <v>45</v>
      </c>
      <c r="C1242" s="14" t="s">
        <v>11</v>
      </c>
      <c r="D1242" s="16">
        <v>75.27</v>
      </c>
      <c r="E1242" s="16">
        <f t="shared" si="38"/>
        <v>45.162</v>
      </c>
      <c r="F1242" s="14"/>
      <c r="G1242" s="14"/>
      <c r="H1242" s="16">
        <f t="shared" si="39"/>
        <v>45.162</v>
      </c>
      <c r="I1242" s="14">
        <v>86</v>
      </c>
    </row>
    <row r="1243" ht="24" customHeight="1" spans="1:9">
      <c r="A1243" s="14" t="str">
        <f>"15132020725"</f>
        <v>15132020725</v>
      </c>
      <c r="B1243" s="15" t="s">
        <v>45</v>
      </c>
      <c r="C1243" s="14" t="s">
        <v>11</v>
      </c>
      <c r="D1243" s="16">
        <v>75.26</v>
      </c>
      <c r="E1243" s="16">
        <f t="shared" si="38"/>
        <v>45.156</v>
      </c>
      <c r="F1243" s="14"/>
      <c r="G1243" s="14"/>
      <c r="H1243" s="16">
        <f t="shared" si="39"/>
        <v>45.156</v>
      </c>
      <c r="I1243" s="14">
        <v>87</v>
      </c>
    </row>
    <row r="1244" ht="24" customHeight="1" spans="1:9">
      <c r="A1244" s="14" t="str">
        <f>"15132020624"</f>
        <v>15132020624</v>
      </c>
      <c r="B1244" s="15" t="s">
        <v>45</v>
      </c>
      <c r="C1244" s="14" t="s">
        <v>11</v>
      </c>
      <c r="D1244" s="16">
        <v>75.14</v>
      </c>
      <c r="E1244" s="16">
        <f t="shared" si="38"/>
        <v>45.084</v>
      </c>
      <c r="F1244" s="14"/>
      <c r="G1244" s="14"/>
      <c r="H1244" s="16">
        <f t="shared" si="39"/>
        <v>45.084</v>
      </c>
      <c r="I1244" s="14">
        <v>88</v>
      </c>
    </row>
    <row r="1245" ht="24" customHeight="1" spans="1:9">
      <c r="A1245" s="14" t="str">
        <f>"15132020627"</f>
        <v>15132020627</v>
      </c>
      <c r="B1245" s="15" t="s">
        <v>45</v>
      </c>
      <c r="C1245" s="14" t="s">
        <v>12</v>
      </c>
      <c r="D1245" s="16">
        <v>70.92</v>
      </c>
      <c r="E1245" s="16">
        <f t="shared" si="38"/>
        <v>42.552</v>
      </c>
      <c r="F1245" s="14">
        <v>2.5</v>
      </c>
      <c r="G1245" s="14"/>
      <c r="H1245" s="16">
        <f t="shared" si="39"/>
        <v>45.052</v>
      </c>
      <c r="I1245" s="14">
        <v>89</v>
      </c>
    </row>
    <row r="1246" ht="24" customHeight="1" spans="1:9">
      <c r="A1246" s="14" t="str">
        <f>"15132020925"</f>
        <v>15132020925</v>
      </c>
      <c r="B1246" s="15" t="s">
        <v>45</v>
      </c>
      <c r="C1246" s="14" t="s">
        <v>12</v>
      </c>
      <c r="D1246" s="16">
        <v>70.9</v>
      </c>
      <c r="E1246" s="16">
        <f t="shared" si="38"/>
        <v>42.54</v>
      </c>
      <c r="F1246" s="14">
        <v>2.5</v>
      </c>
      <c r="G1246" s="14"/>
      <c r="H1246" s="16">
        <f t="shared" si="39"/>
        <v>45.04</v>
      </c>
      <c r="I1246" s="14">
        <v>90</v>
      </c>
    </row>
    <row r="1247" ht="24" customHeight="1" spans="1:9">
      <c r="A1247" s="14" t="str">
        <f>"15132020212"</f>
        <v>15132020212</v>
      </c>
      <c r="B1247" s="15" t="s">
        <v>45</v>
      </c>
      <c r="C1247" s="14" t="s">
        <v>11</v>
      </c>
      <c r="D1247" s="16">
        <v>74.75</v>
      </c>
      <c r="E1247" s="16">
        <f t="shared" si="38"/>
        <v>44.85</v>
      </c>
      <c r="F1247" s="14"/>
      <c r="G1247" s="14"/>
      <c r="H1247" s="16">
        <f t="shared" si="39"/>
        <v>44.85</v>
      </c>
      <c r="I1247" s="14">
        <v>91</v>
      </c>
    </row>
    <row r="1248" ht="24" customHeight="1" spans="1:9">
      <c r="A1248" s="14" t="str">
        <f>"15132020320"</f>
        <v>15132020320</v>
      </c>
      <c r="B1248" s="15" t="s">
        <v>45</v>
      </c>
      <c r="C1248" s="14" t="s">
        <v>11</v>
      </c>
      <c r="D1248" s="16">
        <v>74.62</v>
      </c>
      <c r="E1248" s="16">
        <f t="shared" si="38"/>
        <v>44.772</v>
      </c>
      <c r="F1248" s="14"/>
      <c r="G1248" s="14"/>
      <c r="H1248" s="16">
        <f t="shared" si="39"/>
        <v>44.772</v>
      </c>
      <c r="I1248" s="14">
        <v>92</v>
      </c>
    </row>
    <row r="1249" ht="24" customHeight="1" spans="1:9">
      <c r="A1249" s="14" t="str">
        <f>"15132020522"</f>
        <v>15132020522</v>
      </c>
      <c r="B1249" s="15" t="s">
        <v>45</v>
      </c>
      <c r="C1249" s="14" t="s">
        <v>11</v>
      </c>
      <c r="D1249" s="16">
        <v>74.5</v>
      </c>
      <c r="E1249" s="16">
        <f t="shared" si="38"/>
        <v>44.7</v>
      </c>
      <c r="F1249" s="14"/>
      <c r="G1249" s="14"/>
      <c r="H1249" s="16">
        <f t="shared" si="39"/>
        <v>44.7</v>
      </c>
      <c r="I1249" s="14">
        <v>93</v>
      </c>
    </row>
    <row r="1250" ht="24" customHeight="1" spans="1:9">
      <c r="A1250" s="14" t="str">
        <f>"15132020315"</f>
        <v>15132020315</v>
      </c>
      <c r="B1250" s="15" t="s">
        <v>45</v>
      </c>
      <c r="C1250" s="14" t="s">
        <v>11</v>
      </c>
      <c r="D1250" s="16">
        <v>74.37</v>
      </c>
      <c r="E1250" s="16">
        <f t="shared" si="38"/>
        <v>44.622</v>
      </c>
      <c r="F1250" s="14"/>
      <c r="G1250" s="14"/>
      <c r="H1250" s="16">
        <f t="shared" si="39"/>
        <v>44.622</v>
      </c>
      <c r="I1250" s="14">
        <v>94</v>
      </c>
    </row>
    <row r="1251" ht="24" customHeight="1" spans="1:9">
      <c r="A1251" s="14" t="str">
        <f>"15132020801"</f>
        <v>15132020801</v>
      </c>
      <c r="B1251" s="15" t="s">
        <v>45</v>
      </c>
      <c r="C1251" s="14" t="s">
        <v>11</v>
      </c>
      <c r="D1251" s="16">
        <v>74.36</v>
      </c>
      <c r="E1251" s="16">
        <f t="shared" si="38"/>
        <v>44.616</v>
      </c>
      <c r="F1251" s="14"/>
      <c r="G1251" s="14"/>
      <c r="H1251" s="16">
        <f t="shared" si="39"/>
        <v>44.616</v>
      </c>
      <c r="I1251" s="14">
        <v>95</v>
      </c>
    </row>
    <row r="1252" ht="24" customHeight="1" spans="1:9">
      <c r="A1252" s="14" t="str">
        <f>"15132020402"</f>
        <v>15132020402</v>
      </c>
      <c r="B1252" s="15" t="s">
        <v>45</v>
      </c>
      <c r="C1252" s="14" t="s">
        <v>11</v>
      </c>
      <c r="D1252" s="16">
        <v>73.98</v>
      </c>
      <c r="E1252" s="16">
        <f t="shared" si="38"/>
        <v>44.388</v>
      </c>
      <c r="F1252" s="14"/>
      <c r="G1252" s="14"/>
      <c r="H1252" s="16">
        <f t="shared" si="39"/>
        <v>44.388</v>
      </c>
      <c r="I1252" s="14">
        <v>96</v>
      </c>
    </row>
    <row r="1253" ht="24" customHeight="1" spans="1:9">
      <c r="A1253" s="14" t="str">
        <f>"15132020412"</f>
        <v>15132020412</v>
      </c>
      <c r="B1253" s="15" t="s">
        <v>45</v>
      </c>
      <c r="C1253" s="14" t="s">
        <v>11</v>
      </c>
      <c r="D1253" s="16">
        <v>73.85</v>
      </c>
      <c r="E1253" s="16">
        <f t="shared" si="38"/>
        <v>44.31</v>
      </c>
      <c r="F1253" s="14"/>
      <c r="G1253" s="14"/>
      <c r="H1253" s="16">
        <f t="shared" si="39"/>
        <v>44.31</v>
      </c>
      <c r="I1253" s="14">
        <v>97</v>
      </c>
    </row>
    <row r="1254" ht="24" customHeight="1" spans="1:9">
      <c r="A1254" s="14" t="str">
        <f>"15132020821"</f>
        <v>15132020821</v>
      </c>
      <c r="B1254" s="15" t="s">
        <v>45</v>
      </c>
      <c r="C1254" s="14" t="s">
        <v>11</v>
      </c>
      <c r="D1254" s="16">
        <v>73.72</v>
      </c>
      <c r="E1254" s="16">
        <f t="shared" si="38"/>
        <v>44.232</v>
      </c>
      <c r="F1254" s="14"/>
      <c r="G1254" s="14"/>
      <c r="H1254" s="16">
        <f t="shared" si="39"/>
        <v>44.232</v>
      </c>
      <c r="I1254" s="14">
        <v>98</v>
      </c>
    </row>
    <row r="1255" ht="24" customHeight="1" spans="1:9">
      <c r="A1255" s="14" t="str">
        <f>"15132021003"</f>
        <v>15132021003</v>
      </c>
      <c r="B1255" s="15" t="s">
        <v>45</v>
      </c>
      <c r="C1255" s="14" t="s">
        <v>11</v>
      </c>
      <c r="D1255" s="16">
        <v>73.72</v>
      </c>
      <c r="E1255" s="16">
        <f t="shared" si="38"/>
        <v>44.232</v>
      </c>
      <c r="F1255" s="14"/>
      <c r="G1255" s="14"/>
      <c r="H1255" s="16">
        <f t="shared" si="39"/>
        <v>44.232</v>
      </c>
      <c r="I1255" s="14">
        <v>99</v>
      </c>
    </row>
    <row r="1256" ht="24" customHeight="1" spans="1:9">
      <c r="A1256" s="14" t="str">
        <f>"15132020225"</f>
        <v>15132020225</v>
      </c>
      <c r="B1256" s="15" t="s">
        <v>45</v>
      </c>
      <c r="C1256" s="14" t="s">
        <v>11</v>
      </c>
      <c r="D1256" s="16">
        <v>73.6</v>
      </c>
      <c r="E1256" s="16">
        <f t="shared" si="38"/>
        <v>44.16</v>
      </c>
      <c r="F1256" s="14"/>
      <c r="G1256" s="14"/>
      <c r="H1256" s="16">
        <f t="shared" si="39"/>
        <v>44.16</v>
      </c>
      <c r="I1256" s="14">
        <v>100</v>
      </c>
    </row>
    <row r="1257" ht="24" customHeight="1" spans="1:9">
      <c r="A1257" s="14" t="str">
        <f>"15132020519"</f>
        <v>15132020519</v>
      </c>
      <c r="B1257" s="15" t="s">
        <v>45</v>
      </c>
      <c r="C1257" s="14" t="s">
        <v>11</v>
      </c>
      <c r="D1257" s="16">
        <v>73.51</v>
      </c>
      <c r="E1257" s="16">
        <f t="shared" si="38"/>
        <v>44.106</v>
      </c>
      <c r="F1257" s="14"/>
      <c r="G1257" s="14"/>
      <c r="H1257" s="16">
        <f t="shared" si="39"/>
        <v>44.106</v>
      </c>
      <c r="I1257" s="14">
        <v>101</v>
      </c>
    </row>
    <row r="1258" ht="24" customHeight="1" spans="1:9">
      <c r="A1258" s="14" t="str">
        <f>"15132020721"</f>
        <v>15132020721</v>
      </c>
      <c r="B1258" s="15" t="s">
        <v>45</v>
      </c>
      <c r="C1258" s="14" t="s">
        <v>11</v>
      </c>
      <c r="D1258" s="16">
        <v>73.35</v>
      </c>
      <c r="E1258" s="16">
        <f t="shared" si="38"/>
        <v>44.01</v>
      </c>
      <c r="F1258" s="14"/>
      <c r="G1258" s="14"/>
      <c r="H1258" s="16">
        <f t="shared" si="39"/>
        <v>44.01</v>
      </c>
      <c r="I1258" s="14">
        <v>102</v>
      </c>
    </row>
    <row r="1259" ht="24" customHeight="1" spans="1:9">
      <c r="A1259" s="14" t="str">
        <f>"15132020219"</f>
        <v>15132020219</v>
      </c>
      <c r="B1259" s="15" t="s">
        <v>45</v>
      </c>
      <c r="C1259" s="14" t="s">
        <v>11</v>
      </c>
      <c r="D1259" s="16">
        <v>73.34</v>
      </c>
      <c r="E1259" s="16">
        <f t="shared" si="38"/>
        <v>44.004</v>
      </c>
      <c r="F1259" s="14"/>
      <c r="G1259" s="14"/>
      <c r="H1259" s="16">
        <f t="shared" si="39"/>
        <v>44.004</v>
      </c>
      <c r="I1259" s="14">
        <v>103</v>
      </c>
    </row>
    <row r="1260" ht="24" customHeight="1" spans="1:9">
      <c r="A1260" s="14" t="str">
        <f>"15132020215"</f>
        <v>15132020215</v>
      </c>
      <c r="B1260" s="15" t="s">
        <v>45</v>
      </c>
      <c r="C1260" s="14" t="s">
        <v>11</v>
      </c>
      <c r="D1260" s="16">
        <v>73.32</v>
      </c>
      <c r="E1260" s="16">
        <f t="shared" si="38"/>
        <v>43.992</v>
      </c>
      <c r="F1260" s="14"/>
      <c r="G1260" s="14"/>
      <c r="H1260" s="16">
        <f t="shared" si="39"/>
        <v>43.992</v>
      </c>
      <c r="I1260" s="14">
        <v>104</v>
      </c>
    </row>
    <row r="1261" ht="24" customHeight="1" spans="1:9">
      <c r="A1261" s="14" t="str">
        <f>"15132020706"</f>
        <v>15132020706</v>
      </c>
      <c r="B1261" s="15" t="s">
        <v>45</v>
      </c>
      <c r="C1261" s="14" t="s">
        <v>11</v>
      </c>
      <c r="D1261" s="16">
        <v>73.2</v>
      </c>
      <c r="E1261" s="16">
        <f t="shared" si="38"/>
        <v>43.92</v>
      </c>
      <c r="F1261" s="14"/>
      <c r="G1261" s="14"/>
      <c r="H1261" s="16">
        <f t="shared" si="39"/>
        <v>43.92</v>
      </c>
      <c r="I1261" s="14">
        <v>105</v>
      </c>
    </row>
    <row r="1262" ht="24" customHeight="1" spans="1:9">
      <c r="A1262" s="14" t="str">
        <f>"15132020814"</f>
        <v>15132020814</v>
      </c>
      <c r="B1262" s="15" t="s">
        <v>45</v>
      </c>
      <c r="C1262" s="14" t="s">
        <v>11</v>
      </c>
      <c r="D1262" s="16">
        <v>73.09</v>
      </c>
      <c r="E1262" s="16">
        <f t="shared" si="38"/>
        <v>43.854</v>
      </c>
      <c r="F1262" s="14"/>
      <c r="G1262" s="14"/>
      <c r="H1262" s="16">
        <f t="shared" si="39"/>
        <v>43.854</v>
      </c>
      <c r="I1262" s="14">
        <v>106</v>
      </c>
    </row>
    <row r="1263" ht="24" customHeight="1" spans="1:9">
      <c r="A1263" s="14" t="str">
        <f>"15132020927"</f>
        <v>15132020927</v>
      </c>
      <c r="B1263" s="15" t="s">
        <v>45</v>
      </c>
      <c r="C1263" s="14" t="s">
        <v>11</v>
      </c>
      <c r="D1263" s="16">
        <v>73.08</v>
      </c>
      <c r="E1263" s="16">
        <f t="shared" si="38"/>
        <v>43.848</v>
      </c>
      <c r="F1263" s="14"/>
      <c r="G1263" s="14"/>
      <c r="H1263" s="16">
        <f t="shared" si="39"/>
        <v>43.848</v>
      </c>
      <c r="I1263" s="14">
        <v>107</v>
      </c>
    </row>
    <row r="1264" ht="24" customHeight="1" spans="1:9">
      <c r="A1264" s="14" t="str">
        <f>"15132020924"</f>
        <v>15132020924</v>
      </c>
      <c r="B1264" s="15" t="s">
        <v>45</v>
      </c>
      <c r="C1264" s="14" t="s">
        <v>11</v>
      </c>
      <c r="D1264" s="16">
        <v>72.95</v>
      </c>
      <c r="E1264" s="16">
        <f t="shared" si="38"/>
        <v>43.77</v>
      </c>
      <c r="F1264" s="14"/>
      <c r="G1264" s="14"/>
      <c r="H1264" s="16">
        <f t="shared" si="39"/>
        <v>43.77</v>
      </c>
      <c r="I1264" s="14">
        <v>108</v>
      </c>
    </row>
    <row r="1265" ht="24" customHeight="1" spans="1:9">
      <c r="A1265" s="14" t="str">
        <f>"15132020310"</f>
        <v>15132020310</v>
      </c>
      <c r="B1265" s="15" t="s">
        <v>45</v>
      </c>
      <c r="C1265" s="14" t="s">
        <v>11</v>
      </c>
      <c r="D1265" s="16">
        <v>72.58</v>
      </c>
      <c r="E1265" s="16">
        <f t="shared" si="38"/>
        <v>43.548</v>
      </c>
      <c r="F1265" s="14"/>
      <c r="G1265" s="14"/>
      <c r="H1265" s="16">
        <f t="shared" si="39"/>
        <v>43.548</v>
      </c>
      <c r="I1265" s="14">
        <v>109</v>
      </c>
    </row>
    <row r="1266" ht="24" customHeight="1" spans="1:9">
      <c r="A1266" s="14" t="str">
        <f>"15132020607"</f>
        <v>15132020607</v>
      </c>
      <c r="B1266" s="15" t="s">
        <v>45</v>
      </c>
      <c r="C1266" s="14" t="s">
        <v>11</v>
      </c>
      <c r="D1266" s="16">
        <v>72.43</v>
      </c>
      <c r="E1266" s="16">
        <f t="shared" si="38"/>
        <v>43.458</v>
      </c>
      <c r="F1266" s="14"/>
      <c r="G1266" s="14"/>
      <c r="H1266" s="16">
        <f t="shared" si="39"/>
        <v>43.458</v>
      </c>
      <c r="I1266" s="14">
        <v>110</v>
      </c>
    </row>
    <row r="1267" ht="24" customHeight="1" spans="1:9">
      <c r="A1267" s="14" t="str">
        <f>"15132020914"</f>
        <v>15132020914</v>
      </c>
      <c r="B1267" s="15" t="s">
        <v>45</v>
      </c>
      <c r="C1267" s="14" t="s">
        <v>11</v>
      </c>
      <c r="D1267" s="16">
        <v>69.88</v>
      </c>
      <c r="E1267" s="16">
        <f t="shared" si="38"/>
        <v>41.928</v>
      </c>
      <c r="F1267" s="14"/>
      <c r="G1267" s="14">
        <v>1.5</v>
      </c>
      <c r="H1267" s="16">
        <f t="shared" si="39"/>
        <v>43.428</v>
      </c>
      <c r="I1267" s="14">
        <v>111</v>
      </c>
    </row>
    <row r="1268" ht="24" customHeight="1" spans="1:9">
      <c r="A1268" s="14" t="str">
        <f>"15132020407"</f>
        <v>15132020407</v>
      </c>
      <c r="B1268" s="15" t="s">
        <v>45</v>
      </c>
      <c r="C1268" s="14" t="s">
        <v>11</v>
      </c>
      <c r="D1268" s="16">
        <v>72.32</v>
      </c>
      <c r="E1268" s="16">
        <f t="shared" si="38"/>
        <v>43.392</v>
      </c>
      <c r="F1268" s="14"/>
      <c r="G1268" s="14"/>
      <c r="H1268" s="16">
        <f t="shared" si="39"/>
        <v>43.392</v>
      </c>
      <c r="I1268" s="14">
        <v>112</v>
      </c>
    </row>
    <row r="1269" s="2" customFormat="1" ht="24" customHeight="1" spans="1:10">
      <c r="A1269" s="14" t="str">
        <f>"15132020321"</f>
        <v>15132020321</v>
      </c>
      <c r="B1269" s="15" t="s">
        <v>45</v>
      </c>
      <c r="C1269" s="14" t="s">
        <v>11</v>
      </c>
      <c r="D1269" s="16">
        <v>72.31</v>
      </c>
      <c r="E1269" s="16">
        <f t="shared" si="38"/>
        <v>43.386</v>
      </c>
      <c r="F1269" s="14"/>
      <c r="G1269" s="14"/>
      <c r="H1269" s="16">
        <f t="shared" si="39"/>
        <v>43.386</v>
      </c>
      <c r="I1269" s="14">
        <v>113</v>
      </c>
      <c r="J1269" s="3"/>
    </row>
    <row r="1270" ht="24" customHeight="1" spans="1:9">
      <c r="A1270" s="14" t="str">
        <f>"15132020929"</f>
        <v>15132020929</v>
      </c>
      <c r="B1270" s="15" t="s">
        <v>45</v>
      </c>
      <c r="C1270" s="14" t="s">
        <v>11</v>
      </c>
      <c r="D1270" s="16">
        <v>72.19</v>
      </c>
      <c r="E1270" s="16">
        <f t="shared" si="38"/>
        <v>43.314</v>
      </c>
      <c r="F1270" s="14"/>
      <c r="G1270" s="14"/>
      <c r="H1270" s="16">
        <f t="shared" si="39"/>
        <v>43.314</v>
      </c>
      <c r="I1270" s="14">
        <v>114</v>
      </c>
    </row>
    <row r="1271" ht="24" customHeight="1" spans="1:9">
      <c r="A1271" s="14" t="str">
        <f>"15132020420"</f>
        <v>15132020420</v>
      </c>
      <c r="B1271" s="15" t="s">
        <v>45</v>
      </c>
      <c r="C1271" s="14" t="s">
        <v>11</v>
      </c>
      <c r="D1271" s="16">
        <v>72.18</v>
      </c>
      <c r="E1271" s="16">
        <f t="shared" si="38"/>
        <v>43.308</v>
      </c>
      <c r="F1271" s="14"/>
      <c r="G1271" s="14"/>
      <c r="H1271" s="16">
        <f t="shared" si="39"/>
        <v>43.308</v>
      </c>
      <c r="I1271" s="14">
        <v>115</v>
      </c>
    </row>
    <row r="1272" ht="24" customHeight="1" spans="1:9">
      <c r="A1272" s="14" t="str">
        <f>"15132020421"</f>
        <v>15132020421</v>
      </c>
      <c r="B1272" s="15" t="s">
        <v>45</v>
      </c>
      <c r="C1272" s="14" t="s">
        <v>11</v>
      </c>
      <c r="D1272" s="16">
        <v>71.93</v>
      </c>
      <c r="E1272" s="16">
        <f t="shared" si="38"/>
        <v>43.158</v>
      </c>
      <c r="F1272" s="14"/>
      <c r="G1272" s="14"/>
      <c r="H1272" s="16">
        <f t="shared" si="39"/>
        <v>43.158</v>
      </c>
      <c r="I1272" s="14">
        <v>116</v>
      </c>
    </row>
    <row r="1273" ht="24" customHeight="1" spans="1:9">
      <c r="A1273" s="14" t="str">
        <f>"15132020906"</f>
        <v>15132020906</v>
      </c>
      <c r="B1273" s="15" t="s">
        <v>45</v>
      </c>
      <c r="C1273" s="14" t="s">
        <v>12</v>
      </c>
      <c r="D1273" s="16">
        <v>67.7</v>
      </c>
      <c r="E1273" s="16">
        <f t="shared" si="38"/>
        <v>40.62</v>
      </c>
      <c r="F1273" s="14">
        <v>2.5</v>
      </c>
      <c r="G1273" s="14"/>
      <c r="H1273" s="16">
        <f t="shared" si="39"/>
        <v>43.12</v>
      </c>
      <c r="I1273" s="14">
        <v>117</v>
      </c>
    </row>
    <row r="1274" ht="24" customHeight="1" spans="1:9">
      <c r="A1274" s="14" t="str">
        <f>"15132020904"</f>
        <v>15132020904</v>
      </c>
      <c r="B1274" s="15" t="s">
        <v>45</v>
      </c>
      <c r="C1274" s="14" t="s">
        <v>11</v>
      </c>
      <c r="D1274" s="16">
        <v>71.81</v>
      </c>
      <c r="E1274" s="16">
        <f t="shared" si="38"/>
        <v>43.086</v>
      </c>
      <c r="F1274" s="14"/>
      <c r="G1274" s="14"/>
      <c r="H1274" s="16">
        <f t="shared" si="39"/>
        <v>43.086</v>
      </c>
      <c r="I1274" s="14">
        <v>118</v>
      </c>
    </row>
    <row r="1275" ht="24" customHeight="1" spans="1:9">
      <c r="A1275" s="14" t="str">
        <f>"15132020612"</f>
        <v>15132020612</v>
      </c>
      <c r="B1275" s="15" t="s">
        <v>45</v>
      </c>
      <c r="C1275" s="14" t="s">
        <v>11</v>
      </c>
      <c r="D1275" s="16">
        <v>71.66</v>
      </c>
      <c r="E1275" s="16">
        <f t="shared" si="38"/>
        <v>42.996</v>
      </c>
      <c r="F1275" s="14"/>
      <c r="G1275" s="14"/>
      <c r="H1275" s="16">
        <f t="shared" si="39"/>
        <v>42.996</v>
      </c>
      <c r="I1275" s="14">
        <v>119</v>
      </c>
    </row>
    <row r="1276" ht="24" customHeight="1" spans="1:9">
      <c r="A1276" s="14" t="str">
        <f>"15132020408"</f>
        <v>15132020408</v>
      </c>
      <c r="B1276" s="15" t="s">
        <v>45</v>
      </c>
      <c r="C1276" s="14" t="s">
        <v>11</v>
      </c>
      <c r="D1276" s="16">
        <v>71.41</v>
      </c>
      <c r="E1276" s="16">
        <f t="shared" si="38"/>
        <v>42.846</v>
      </c>
      <c r="F1276" s="14"/>
      <c r="G1276" s="14"/>
      <c r="H1276" s="16">
        <f t="shared" si="39"/>
        <v>42.846</v>
      </c>
      <c r="I1276" s="14">
        <v>120</v>
      </c>
    </row>
    <row r="1277" ht="24" customHeight="1" spans="1:9">
      <c r="A1277" s="14" t="str">
        <f>"15132020810"</f>
        <v>15132020810</v>
      </c>
      <c r="B1277" s="15" t="s">
        <v>45</v>
      </c>
      <c r="C1277" s="14" t="s">
        <v>11</v>
      </c>
      <c r="D1277" s="16">
        <v>70.92</v>
      </c>
      <c r="E1277" s="16">
        <f t="shared" si="38"/>
        <v>42.552</v>
      </c>
      <c r="F1277" s="14"/>
      <c r="G1277" s="14"/>
      <c r="H1277" s="16">
        <f t="shared" si="39"/>
        <v>42.552</v>
      </c>
      <c r="I1277" s="14">
        <v>121</v>
      </c>
    </row>
    <row r="1278" ht="24" customHeight="1" spans="1:9">
      <c r="A1278" s="14" t="str">
        <f>"15132020229"</f>
        <v>15132020229</v>
      </c>
      <c r="B1278" s="15" t="s">
        <v>45</v>
      </c>
      <c r="C1278" s="14" t="s">
        <v>11</v>
      </c>
      <c r="D1278" s="16">
        <v>70.9</v>
      </c>
      <c r="E1278" s="16">
        <f t="shared" si="38"/>
        <v>42.54</v>
      </c>
      <c r="F1278" s="14"/>
      <c r="G1278" s="14"/>
      <c r="H1278" s="16">
        <f t="shared" si="39"/>
        <v>42.54</v>
      </c>
      <c r="I1278" s="14">
        <v>122</v>
      </c>
    </row>
    <row r="1279" ht="24" customHeight="1" spans="1:9">
      <c r="A1279" s="14" t="str">
        <f>"15132020724"</f>
        <v>15132020724</v>
      </c>
      <c r="B1279" s="15" t="s">
        <v>45</v>
      </c>
      <c r="C1279" s="14" t="s">
        <v>11</v>
      </c>
      <c r="D1279" s="16">
        <v>70.9</v>
      </c>
      <c r="E1279" s="16">
        <f t="shared" si="38"/>
        <v>42.54</v>
      </c>
      <c r="F1279" s="14"/>
      <c r="G1279" s="14"/>
      <c r="H1279" s="16">
        <f t="shared" si="39"/>
        <v>42.54</v>
      </c>
      <c r="I1279" s="14">
        <v>123</v>
      </c>
    </row>
    <row r="1280" ht="24" customHeight="1" spans="1:9">
      <c r="A1280" s="14" t="str">
        <f>"15132021012"</f>
        <v>15132021012</v>
      </c>
      <c r="B1280" s="15" t="s">
        <v>45</v>
      </c>
      <c r="C1280" s="14" t="s">
        <v>11</v>
      </c>
      <c r="D1280" s="16">
        <v>70.9</v>
      </c>
      <c r="E1280" s="16">
        <f t="shared" si="38"/>
        <v>42.54</v>
      </c>
      <c r="F1280" s="14"/>
      <c r="G1280" s="14"/>
      <c r="H1280" s="16">
        <f t="shared" si="39"/>
        <v>42.54</v>
      </c>
      <c r="I1280" s="14">
        <v>124</v>
      </c>
    </row>
    <row r="1281" ht="24" customHeight="1" spans="1:9">
      <c r="A1281" s="14" t="str">
        <f>"15132020907"</f>
        <v>15132020907</v>
      </c>
      <c r="B1281" s="15" t="s">
        <v>45</v>
      </c>
      <c r="C1281" s="14" t="s">
        <v>11</v>
      </c>
      <c r="D1281" s="16">
        <v>70.77</v>
      </c>
      <c r="E1281" s="16">
        <f t="shared" si="38"/>
        <v>42.462</v>
      </c>
      <c r="F1281" s="14"/>
      <c r="G1281" s="14"/>
      <c r="H1281" s="16">
        <f t="shared" si="39"/>
        <v>42.462</v>
      </c>
      <c r="I1281" s="14">
        <v>125</v>
      </c>
    </row>
    <row r="1282" ht="24" customHeight="1" spans="1:9">
      <c r="A1282" s="14" t="str">
        <f>"15132020329"</f>
        <v>15132020329</v>
      </c>
      <c r="B1282" s="15" t="s">
        <v>45</v>
      </c>
      <c r="C1282" s="14" t="s">
        <v>11</v>
      </c>
      <c r="D1282" s="16">
        <v>70.63</v>
      </c>
      <c r="E1282" s="16">
        <f t="shared" si="38"/>
        <v>42.378</v>
      </c>
      <c r="F1282" s="14"/>
      <c r="G1282" s="14"/>
      <c r="H1282" s="16">
        <f t="shared" si="39"/>
        <v>42.378</v>
      </c>
      <c r="I1282" s="14">
        <v>126</v>
      </c>
    </row>
    <row r="1283" ht="24" customHeight="1" spans="1:9">
      <c r="A1283" s="14" t="str">
        <f>"15132020119"</f>
        <v>15132020119</v>
      </c>
      <c r="B1283" s="15" t="s">
        <v>45</v>
      </c>
      <c r="C1283" s="14" t="s">
        <v>11</v>
      </c>
      <c r="D1283" s="16">
        <v>70.52</v>
      </c>
      <c r="E1283" s="16">
        <f t="shared" ref="E1283:E1346" si="40">D1283*0.6</f>
        <v>42.312</v>
      </c>
      <c r="F1283" s="14"/>
      <c r="G1283" s="14"/>
      <c r="H1283" s="16">
        <f t="shared" ref="H1283:H1346" si="41">SUM(E1283:G1283)</f>
        <v>42.312</v>
      </c>
      <c r="I1283" s="14">
        <v>127</v>
      </c>
    </row>
    <row r="1284" ht="24" customHeight="1" spans="1:9">
      <c r="A1284" s="14" t="str">
        <f>"15132020611"</f>
        <v>15132020611</v>
      </c>
      <c r="B1284" s="15" t="s">
        <v>45</v>
      </c>
      <c r="C1284" s="14" t="s">
        <v>11</v>
      </c>
      <c r="D1284" s="16">
        <v>70.12</v>
      </c>
      <c r="E1284" s="16">
        <f t="shared" si="40"/>
        <v>42.072</v>
      </c>
      <c r="F1284" s="14"/>
      <c r="G1284" s="14"/>
      <c r="H1284" s="16">
        <f t="shared" si="41"/>
        <v>42.072</v>
      </c>
      <c r="I1284" s="14">
        <v>128</v>
      </c>
    </row>
    <row r="1285" ht="24" customHeight="1" spans="1:9">
      <c r="A1285" s="14" t="str">
        <f>"15132020827"</f>
        <v>15132020827</v>
      </c>
      <c r="B1285" s="15" t="s">
        <v>45</v>
      </c>
      <c r="C1285" s="14" t="s">
        <v>11</v>
      </c>
      <c r="D1285" s="16">
        <v>69.88</v>
      </c>
      <c r="E1285" s="16">
        <f t="shared" si="40"/>
        <v>41.928</v>
      </c>
      <c r="F1285" s="14"/>
      <c r="G1285" s="14"/>
      <c r="H1285" s="16">
        <f t="shared" si="41"/>
        <v>41.928</v>
      </c>
      <c r="I1285" s="14">
        <v>129</v>
      </c>
    </row>
    <row r="1286" ht="24" customHeight="1" spans="1:9">
      <c r="A1286" s="14" t="str">
        <f>"15132020804"</f>
        <v>15132020804</v>
      </c>
      <c r="B1286" s="15" t="s">
        <v>45</v>
      </c>
      <c r="C1286" s="14" t="s">
        <v>11</v>
      </c>
      <c r="D1286" s="16">
        <v>69.76</v>
      </c>
      <c r="E1286" s="16">
        <f t="shared" si="40"/>
        <v>41.856</v>
      </c>
      <c r="F1286" s="14"/>
      <c r="G1286" s="14"/>
      <c r="H1286" s="16">
        <f t="shared" si="41"/>
        <v>41.856</v>
      </c>
      <c r="I1286" s="14">
        <v>130</v>
      </c>
    </row>
    <row r="1287" ht="24" customHeight="1" spans="1:9">
      <c r="A1287" s="14" t="str">
        <f>"15132020112"</f>
        <v>15132020112</v>
      </c>
      <c r="B1287" s="15" t="s">
        <v>45</v>
      </c>
      <c r="C1287" s="14" t="s">
        <v>11</v>
      </c>
      <c r="D1287" s="16">
        <v>69.63</v>
      </c>
      <c r="E1287" s="16">
        <f t="shared" si="40"/>
        <v>41.778</v>
      </c>
      <c r="F1287" s="14"/>
      <c r="G1287" s="14"/>
      <c r="H1287" s="16">
        <f t="shared" si="41"/>
        <v>41.778</v>
      </c>
      <c r="I1287" s="14">
        <v>131</v>
      </c>
    </row>
    <row r="1288" ht="24" customHeight="1" spans="1:9">
      <c r="A1288" s="14" t="str">
        <f>"15132020520"</f>
        <v>15132020520</v>
      </c>
      <c r="B1288" s="15" t="s">
        <v>45</v>
      </c>
      <c r="C1288" s="14" t="s">
        <v>11</v>
      </c>
      <c r="D1288" s="16">
        <v>69.49</v>
      </c>
      <c r="E1288" s="16">
        <f t="shared" si="40"/>
        <v>41.694</v>
      </c>
      <c r="F1288" s="14"/>
      <c r="G1288" s="14"/>
      <c r="H1288" s="16">
        <f t="shared" si="41"/>
        <v>41.694</v>
      </c>
      <c r="I1288" s="14">
        <v>132</v>
      </c>
    </row>
    <row r="1289" ht="24" customHeight="1" spans="1:9">
      <c r="A1289" s="14" t="str">
        <f>"15132020825"</f>
        <v>15132020825</v>
      </c>
      <c r="B1289" s="15" t="s">
        <v>45</v>
      </c>
      <c r="C1289" s="14" t="s">
        <v>11</v>
      </c>
      <c r="D1289" s="16">
        <v>69.35</v>
      </c>
      <c r="E1289" s="16">
        <f t="shared" si="40"/>
        <v>41.61</v>
      </c>
      <c r="F1289" s="14"/>
      <c r="G1289" s="14"/>
      <c r="H1289" s="16">
        <f t="shared" si="41"/>
        <v>41.61</v>
      </c>
      <c r="I1289" s="14">
        <v>133</v>
      </c>
    </row>
    <row r="1290" ht="24" customHeight="1" spans="1:9">
      <c r="A1290" s="14" t="str">
        <f>"15132020107"</f>
        <v>15132020107</v>
      </c>
      <c r="B1290" s="15" t="s">
        <v>45</v>
      </c>
      <c r="C1290" s="14" t="s">
        <v>12</v>
      </c>
      <c r="D1290" s="16">
        <v>65.15</v>
      </c>
      <c r="E1290" s="16">
        <f t="shared" si="40"/>
        <v>39.09</v>
      </c>
      <c r="F1290" s="14">
        <v>2.5</v>
      </c>
      <c r="G1290" s="14"/>
      <c r="H1290" s="16">
        <f t="shared" si="41"/>
        <v>41.59</v>
      </c>
      <c r="I1290" s="14">
        <v>134</v>
      </c>
    </row>
    <row r="1291" ht="24" customHeight="1" spans="1:9">
      <c r="A1291" s="14" t="str">
        <f>"15132020807"</f>
        <v>15132020807</v>
      </c>
      <c r="B1291" s="15" t="s">
        <v>45</v>
      </c>
      <c r="C1291" s="14" t="s">
        <v>11</v>
      </c>
      <c r="D1291" s="16">
        <v>69.24</v>
      </c>
      <c r="E1291" s="16">
        <f t="shared" si="40"/>
        <v>41.544</v>
      </c>
      <c r="F1291" s="14"/>
      <c r="G1291" s="14"/>
      <c r="H1291" s="16">
        <f t="shared" si="41"/>
        <v>41.544</v>
      </c>
      <c r="I1291" s="14">
        <v>135</v>
      </c>
    </row>
    <row r="1292" ht="24" customHeight="1" spans="1:9">
      <c r="A1292" s="14" t="str">
        <f>"15132020127"</f>
        <v>15132020127</v>
      </c>
      <c r="B1292" s="15" t="s">
        <v>45</v>
      </c>
      <c r="C1292" s="14" t="s">
        <v>11</v>
      </c>
      <c r="D1292" s="16">
        <v>69.12</v>
      </c>
      <c r="E1292" s="16">
        <f t="shared" si="40"/>
        <v>41.472</v>
      </c>
      <c r="F1292" s="14"/>
      <c r="G1292" s="14"/>
      <c r="H1292" s="16">
        <f t="shared" si="41"/>
        <v>41.472</v>
      </c>
      <c r="I1292" s="14">
        <v>136</v>
      </c>
    </row>
    <row r="1293" ht="24" customHeight="1" spans="1:9">
      <c r="A1293" s="14" t="str">
        <f>"15132020527"</f>
        <v>15132020527</v>
      </c>
      <c r="B1293" s="15" t="s">
        <v>45</v>
      </c>
      <c r="C1293" s="14" t="s">
        <v>11</v>
      </c>
      <c r="D1293" s="16">
        <v>69.11</v>
      </c>
      <c r="E1293" s="16">
        <f t="shared" si="40"/>
        <v>41.466</v>
      </c>
      <c r="F1293" s="14"/>
      <c r="G1293" s="14"/>
      <c r="H1293" s="16">
        <f t="shared" si="41"/>
        <v>41.466</v>
      </c>
      <c r="I1293" s="14">
        <v>137</v>
      </c>
    </row>
    <row r="1294" ht="24" customHeight="1" spans="1:9">
      <c r="A1294" s="14" t="str">
        <f>"15132020406"</f>
        <v>15132020406</v>
      </c>
      <c r="B1294" s="15" t="s">
        <v>45</v>
      </c>
      <c r="C1294" s="14" t="s">
        <v>11</v>
      </c>
      <c r="D1294" s="16">
        <v>68.99</v>
      </c>
      <c r="E1294" s="16">
        <f t="shared" si="40"/>
        <v>41.394</v>
      </c>
      <c r="F1294" s="14"/>
      <c r="G1294" s="14"/>
      <c r="H1294" s="16">
        <f t="shared" si="41"/>
        <v>41.394</v>
      </c>
      <c r="I1294" s="14">
        <v>138</v>
      </c>
    </row>
    <row r="1295" ht="24" customHeight="1" spans="1:9">
      <c r="A1295" s="14" t="str">
        <f>"15132020211"</f>
        <v>15132020211</v>
      </c>
      <c r="B1295" s="15" t="s">
        <v>45</v>
      </c>
      <c r="C1295" s="14" t="s">
        <v>11</v>
      </c>
      <c r="D1295" s="16">
        <v>68.98</v>
      </c>
      <c r="E1295" s="16">
        <f t="shared" si="40"/>
        <v>41.388</v>
      </c>
      <c r="F1295" s="14"/>
      <c r="G1295" s="14"/>
      <c r="H1295" s="16">
        <f t="shared" si="41"/>
        <v>41.388</v>
      </c>
      <c r="I1295" s="14">
        <v>139</v>
      </c>
    </row>
    <row r="1296" ht="24" customHeight="1" spans="1:9">
      <c r="A1296" s="14" t="str">
        <f>"15132020523"</f>
        <v>15132020523</v>
      </c>
      <c r="B1296" s="15" t="s">
        <v>45</v>
      </c>
      <c r="C1296" s="14" t="s">
        <v>11</v>
      </c>
      <c r="D1296" s="16">
        <v>68.98</v>
      </c>
      <c r="E1296" s="16">
        <f t="shared" si="40"/>
        <v>41.388</v>
      </c>
      <c r="F1296" s="14"/>
      <c r="G1296" s="14"/>
      <c r="H1296" s="16">
        <f t="shared" si="41"/>
        <v>41.388</v>
      </c>
      <c r="I1296" s="14">
        <v>140</v>
      </c>
    </row>
    <row r="1297" ht="24" customHeight="1" spans="1:9">
      <c r="A1297" s="14" t="str">
        <f>"15132020824"</f>
        <v>15132020824</v>
      </c>
      <c r="B1297" s="15" t="s">
        <v>45</v>
      </c>
      <c r="C1297" s="14" t="s">
        <v>11</v>
      </c>
      <c r="D1297" s="16">
        <v>68.98</v>
      </c>
      <c r="E1297" s="16">
        <f t="shared" si="40"/>
        <v>41.388</v>
      </c>
      <c r="F1297" s="14"/>
      <c r="G1297" s="14"/>
      <c r="H1297" s="16">
        <f t="shared" si="41"/>
        <v>41.388</v>
      </c>
      <c r="I1297" s="14">
        <v>141</v>
      </c>
    </row>
    <row r="1298" ht="24" customHeight="1" spans="1:9">
      <c r="A1298" s="14" t="str">
        <f>"15132020911"</f>
        <v>15132020911</v>
      </c>
      <c r="B1298" s="15" t="s">
        <v>45</v>
      </c>
      <c r="C1298" s="14" t="s">
        <v>11</v>
      </c>
      <c r="D1298" s="16">
        <v>68.98</v>
      </c>
      <c r="E1298" s="16">
        <f t="shared" si="40"/>
        <v>41.388</v>
      </c>
      <c r="F1298" s="14"/>
      <c r="G1298" s="14"/>
      <c r="H1298" s="16">
        <f t="shared" si="41"/>
        <v>41.388</v>
      </c>
      <c r="I1298" s="14">
        <v>142</v>
      </c>
    </row>
    <row r="1299" ht="24" customHeight="1" spans="1:9">
      <c r="A1299" s="14" t="str">
        <f>"15132020327"</f>
        <v>15132020327</v>
      </c>
      <c r="B1299" s="15" t="s">
        <v>45</v>
      </c>
      <c r="C1299" s="14" t="s">
        <v>11</v>
      </c>
      <c r="D1299" s="16">
        <v>68.86</v>
      </c>
      <c r="E1299" s="16">
        <f t="shared" si="40"/>
        <v>41.316</v>
      </c>
      <c r="F1299" s="14"/>
      <c r="G1299" s="14"/>
      <c r="H1299" s="16">
        <f t="shared" si="41"/>
        <v>41.316</v>
      </c>
      <c r="I1299" s="14">
        <v>143</v>
      </c>
    </row>
    <row r="1300" ht="24" customHeight="1" spans="1:9">
      <c r="A1300" s="14" t="str">
        <f>"15132020505"</f>
        <v>15132020505</v>
      </c>
      <c r="B1300" s="15" t="s">
        <v>45</v>
      </c>
      <c r="C1300" s="14" t="s">
        <v>11</v>
      </c>
      <c r="D1300" s="16">
        <v>68.86</v>
      </c>
      <c r="E1300" s="16">
        <f t="shared" si="40"/>
        <v>41.316</v>
      </c>
      <c r="F1300" s="14"/>
      <c r="G1300" s="14"/>
      <c r="H1300" s="16">
        <f t="shared" si="41"/>
        <v>41.316</v>
      </c>
      <c r="I1300" s="14">
        <v>144</v>
      </c>
    </row>
    <row r="1301" ht="24" customHeight="1" spans="1:9">
      <c r="A1301" s="14" t="str">
        <f>"15132020526"</f>
        <v>15132020526</v>
      </c>
      <c r="B1301" s="15" t="s">
        <v>45</v>
      </c>
      <c r="C1301" s="14" t="s">
        <v>11</v>
      </c>
      <c r="D1301" s="16">
        <v>68.86</v>
      </c>
      <c r="E1301" s="16">
        <f t="shared" si="40"/>
        <v>41.316</v>
      </c>
      <c r="F1301" s="14"/>
      <c r="G1301" s="14"/>
      <c r="H1301" s="16">
        <f t="shared" si="41"/>
        <v>41.316</v>
      </c>
      <c r="I1301" s="14">
        <v>145</v>
      </c>
    </row>
    <row r="1302" ht="24" customHeight="1" spans="1:9">
      <c r="A1302" s="14" t="str">
        <f>"15132020701"</f>
        <v>15132020701</v>
      </c>
      <c r="B1302" s="15" t="s">
        <v>45</v>
      </c>
      <c r="C1302" s="14" t="s">
        <v>11</v>
      </c>
      <c r="D1302" s="16">
        <v>68.72</v>
      </c>
      <c r="E1302" s="16">
        <f t="shared" si="40"/>
        <v>41.232</v>
      </c>
      <c r="F1302" s="14"/>
      <c r="G1302" s="14"/>
      <c r="H1302" s="16">
        <f t="shared" si="41"/>
        <v>41.232</v>
      </c>
      <c r="I1302" s="14">
        <v>146</v>
      </c>
    </row>
    <row r="1303" ht="24" customHeight="1" spans="1:9">
      <c r="A1303" s="14" t="str">
        <f>"15132021015"</f>
        <v>15132021015</v>
      </c>
      <c r="B1303" s="15" t="s">
        <v>45</v>
      </c>
      <c r="C1303" s="14" t="s">
        <v>11</v>
      </c>
      <c r="D1303" s="16">
        <v>68.61</v>
      </c>
      <c r="E1303" s="16">
        <f t="shared" si="40"/>
        <v>41.166</v>
      </c>
      <c r="F1303" s="14"/>
      <c r="G1303" s="14"/>
      <c r="H1303" s="16">
        <f t="shared" si="41"/>
        <v>41.166</v>
      </c>
      <c r="I1303" s="14">
        <v>147</v>
      </c>
    </row>
    <row r="1304" ht="24" customHeight="1" spans="1:9">
      <c r="A1304" s="14" t="str">
        <f>"15132020105"</f>
        <v>15132020105</v>
      </c>
      <c r="B1304" s="15" t="s">
        <v>45</v>
      </c>
      <c r="C1304" s="14" t="s">
        <v>11</v>
      </c>
      <c r="D1304" s="16">
        <v>68.59</v>
      </c>
      <c r="E1304" s="16">
        <f t="shared" si="40"/>
        <v>41.154</v>
      </c>
      <c r="F1304" s="14"/>
      <c r="G1304" s="14"/>
      <c r="H1304" s="16">
        <f t="shared" si="41"/>
        <v>41.154</v>
      </c>
      <c r="I1304" s="14">
        <v>148</v>
      </c>
    </row>
    <row r="1305" ht="24" customHeight="1" spans="1:9">
      <c r="A1305" s="14" t="str">
        <f>"15132020430"</f>
        <v>15132020430</v>
      </c>
      <c r="B1305" s="15" t="s">
        <v>45</v>
      </c>
      <c r="C1305" s="14" t="s">
        <v>11</v>
      </c>
      <c r="D1305" s="16">
        <v>68.47</v>
      </c>
      <c r="E1305" s="16">
        <f t="shared" si="40"/>
        <v>41.082</v>
      </c>
      <c r="F1305" s="14"/>
      <c r="G1305" s="14"/>
      <c r="H1305" s="16">
        <f t="shared" si="41"/>
        <v>41.082</v>
      </c>
      <c r="I1305" s="14">
        <v>149</v>
      </c>
    </row>
    <row r="1306" ht="24" customHeight="1" spans="1:9">
      <c r="A1306" s="14" t="str">
        <f>"15132020623"</f>
        <v>15132020623</v>
      </c>
      <c r="B1306" s="15" t="s">
        <v>45</v>
      </c>
      <c r="C1306" s="14" t="s">
        <v>11</v>
      </c>
      <c r="D1306" s="16">
        <v>68.46</v>
      </c>
      <c r="E1306" s="16">
        <f t="shared" si="40"/>
        <v>41.076</v>
      </c>
      <c r="F1306" s="14"/>
      <c r="G1306" s="14"/>
      <c r="H1306" s="16">
        <f t="shared" si="41"/>
        <v>41.076</v>
      </c>
      <c r="I1306" s="14">
        <v>150</v>
      </c>
    </row>
    <row r="1307" ht="24" customHeight="1" spans="1:9">
      <c r="A1307" s="14" t="str">
        <f>"15132020617"</f>
        <v>15132020617</v>
      </c>
      <c r="B1307" s="15" t="s">
        <v>45</v>
      </c>
      <c r="C1307" s="14" t="s">
        <v>11</v>
      </c>
      <c r="D1307" s="16">
        <v>68.45</v>
      </c>
      <c r="E1307" s="16">
        <f t="shared" si="40"/>
        <v>41.07</v>
      </c>
      <c r="F1307" s="14"/>
      <c r="G1307" s="14"/>
      <c r="H1307" s="16">
        <f t="shared" si="41"/>
        <v>41.07</v>
      </c>
      <c r="I1307" s="14">
        <v>151</v>
      </c>
    </row>
    <row r="1308" ht="24" customHeight="1" spans="1:9">
      <c r="A1308" s="14" t="str">
        <f>"15132020707"</f>
        <v>15132020707</v>
      </c>
      <c r="B1308" s="15" t="s">
        <v>45</v>
      </c>
      <c r="C1308" s="14" t="s">
        <v>11</v>
      </c>
      <c r="D1308" s="16">
        <v>68.35</v>
      </c>
      <c r="E1308" s="16">
        <f t="shared" si="40"/>
        <v>41.01</v>
      </c>
      <c r="F1308" s="14"/>
      <c r="G1308" s="14"/>
      <c r="H1308" s="16">
        <f t="shared" si="41"/>
        <v>41.01</v>
      </c>
      <c r="I1308" s="14">
        <v>152</v>
      </c>
    </row>
    <row r="1309" ht="24" customHeight="1" spans="1:9">
      <c r="A1309" s="14" t="str">
        <f>"15132020204"</f>
        <v>15132020204</v>
      </c>
      <c r="B1309" s="15" t="s">
        <v>45</v>
      </c>
      <c r="C1309" s="14" t="s">
        <v>11</v>
      </c>
      <c r="D1309" s="16">
        <v>68.22</v>
      </c>
      <c r="E1309" s="16">
        <f t="shared" si="40"/>
        <v>40.932</v>
      </c>
      <c r="F1309" s="14"/>
      <c r="G1309" s="14"/>
      <c r="H1309" s="16">
        <f t="shared" si="41"/>
        <v>40.932</v>
      </c>
      <c r="I1309" s="14">
        <v>153</v>
      </c>
    </row>
    <row r="1310" ht="24" customHeight="1" spans="1:9">
      <c r="A1310" s="14" t="str">
        <f>"15132020903"</f>
        <v>15132020903</v>
      </c>
      <c r="B1310" s="15" t="s">
        <v>45</v>
      </c>
      <c r="C1310" s="14" t="s">
        <v>11</v>
      </c>
      <c r="D1310" s="16">
        <v>68.21</v>
      </c>
      <c r="E1310" s="16">
        <f t="shared" si="40"/>
        <v>40.926</v>
      </c>
      <c r="F1310" s="14"/>
      <c r="G1310" s="14"/>
      <c r="H1310" s="16">
        <f t="shared" si="41"/>
        <v>40.926</v>
      </c>
      <c r="I1310" s="14">
        <v>154</v>
      </c>
    </row>
    <row r="1311" ht="24" customHeight="1" spans="1:9">
      <c r="A1311" s="14" t="str">
        <f>"15132020123"</f>
        <v>15132020123</v>
      </c>
      <c r="B1311" s="15" t="s">
        <v>45</v>
      </c>
      <c r="C1311" s="14" t="s">
        <v>11</v>
      </c>
      <c r="D1311" s="16">
        <v>67.97</v>
      </c>
      <c r="E1311" s="16">
        <f t="shared" si="40"/>
        <v>40.782</v>
      </c>
      <c r="F1311" s="14"/>
      <c r="G1311" s="14"/>
      <c r="H1311" s="16">
        <f t="shared" si="41"/>
        <v>40.782</v>
      </c>
      <c r="I1311" s="14">
        <v>155</v>
      </c>
    </row>
    <row r="1312" ht="24" customHeight="1" spans="1:9">
      <c r="A1312" s="14" t="str">
        <f>"15132020317"</f>
        <v>15132020317</v>
      </c>
      <c r="B1312" s="15" t="s">
        <v>45</v>
      </c>
      <c r="C1312" s="14" t="s">
        <v>11</v>
      </c>
      <c r="D1312" s="16">
        <v>67.97</v>
      </c>
      <c r="E1312" s="16">
        <f t="shared" si="40"/>
        <v>40.782</v>
      </c>
      <c r="F1312" s="14"/>
      <c r="G1312" s="14"/>
      <c r="H1312" s="16">
        <f t="shared" si="41"/>
        <v>40.782</v>
      </c>
      <c r="I1312" s="14">
        <v>156</v>
      </c>
    </row>
    <row r="1313" ht="24" customHeight="1" spans="1:9">
      <c r="A1313" s="14" t="str">
        <f>"15132020601"</f>
        <v>15132020601</v>
      </c>
      <c r="B1313" s="15" t="s">
        <v>45</v>
      </c>
      <c r="C1313" s="14" t="s">
        <v>11</v>
      </c>
      <c r="D1313" s="16">
        <v>67.7</v>
      </c>
      <c r="E1313" s="16">
        <f t="shared" si="40"/>
        <v>40.62</v>
      </c>
      <c r="F1313" s="14"/>
      <c r="G1313" s="14"/>
      <c r="H1313" s="16">
        <f t="shared" si="41"/>
        <v>40.62</v>
      </c>
      <c r="I1313" s="14">
        <v>157</v>
      </c>
    </row>
    <row r="1314" ht="24" customHeight="1" spans="1:9">
      <c r="A1314" s="14" t="str">
        <f>"15132020428"</f>
        <v>15132020428</v>
      </c>
      <c r="B1314" s="15" t="s">
        <v>45</v>
      </c>
      <c r="C1314" s="14" t="s">
        <v>11</v>
      </c>
      <c r="D1314" s="16">
        <v>67.57</v>
      </c>
      <c r="E1314" s="16">
        <f t="shared" si="40"/>
        <v>40.542</v>
      </c>
      <c r="F1314" s="14"/>
      <c r="G1314" s="14"/>
      <c r="H1314" s="16">
        <f t="shared" si="41"/>
        <v>40.542</v>
      </c>
      <c r="I1314" s="14">
        <v>158</v>
      </c>
    </row>
    <row r="1315" ht="24" customHeight="1" spans="1:9">
      <c r="A1315" s="14" t="str">
        <f>"15132020918"</f>
        <v>15132020918</v>
      </c>
      <c r="B1315" s="15" t="s">
        <v>45</v>
      </c>
      <c r="C1315" s="14" t="s">
        <v>11</v>
      </c>
      <c r="D1315" s="16">
        <v>67.44</v>
      </c>
      <c r="E1315" s="16">
        <f t="shared" si="40"/>
        <v>40.464</v>
      </c>
      <c r="F1315" s="14"/>
      <c r="G1315" s="14"/>
      <c r="H1315" s="16">
        <f t="shared" si="41"/>
        <v>40.464</v>
      </c>
      <c r="I1315" s="14">
        <v>159</v>
      </c>
    </row>
    <row r="1316" ht="24" customHeight="1" spans="1:9">
      <c r="A1316" s="14" t="str">
        <f>"15132020614"</f>
        <v>15132020614</v>
      </c>
      <c r="B1316" s="15" t="s">
        <v>45</v>
      </c>
      <c r="C1316" s="14" t="s">
        <v>11</v>
      </c>
      <c r="D1316" s="16">
        <v>67.43</v>
      </c>
      <c r="E1316" s="16">
        <f t="shared" si="40"/>
        <v>40.458</v>
      </c>
      <c r="F1316" s="14"/>
      <c r="G1316" s="14"/>
      <c r="H1316" s="16">
        <f t="shared" si="41"/>
        <v>40.458</v>
      </c>
      <c r="I1316" s="14">
        <v>160</v>
      </c>
    </row>
    <row r="1317" ht="24" customHeight="1" spans="1:9">
      <c r="A1317" s="14" t="str">
        <f>"15132021009"</f>
        <v>15132021009</v>
      </c>
      <c r="B1317" s="15" t="s">
        <v>45</v>
      </c>
      <c r="C1317" s="14" t="s">
        <v>11</v>
      </c>
      <c r="D1317" s="16">
        <v>67.2</v>
      </c>
      <c r="E1317" s="16">
        <f t="shared" si="40"/>
        <v>40.32</v>
      </c>
      <c r="F1317" s="14"/>
      <c r="G1317" s="14"/>
      <c r="H1317" s="16">
        <f t="shared" si="41"/>
        <v>40.32</v>
      </c>
      <c r="I1317" s="14">
        <v>161</v>
      </c>
    </row>
    <row r="1318" ht="24" customHeight="1" spans="1:9">
      <c r="A1318" s="14" t="str">
        <f>"15132020610"</f>
        <v>15132020610</v>
      </c>
      <c r="B1318" s="15" t="s">
        <v>45</v>
      </c>
      <c r="C1318" s="14" t="s">
        <v>11</v>
      </c>
      <c r="D1318" s="16">
        <v>67.18</v>
      </c>
      <c r="E1318" s="16">
        <f t="shared" si="40"/>
        <v>40.308</v>
      </c>
      <c r="F1318" s="14"/>
      <c r="G1318" s="14"/>
      <c r="H1318" s="16">
        <f t="shared" si="41"/>
        <v>40.308</v>
      </c>
      <c r="I1318" s="14">
        <v>162</v>
      </c>
    </row>
    <row r="1319" ht="24" customHeight="1" spans="1:9">
      <c r="A1319" s="14" t="str">
        <f>"15132020415"</f>
        <v>15132020415</v>
      </c>
      <c r="B1319" s="15" t="s">
        <v>45</v>
      </c>
      <c r="C1319" s="14" t="s">
        <v>11</v>
      </c>
      <c r="D1319" s="16">
        <v>67.17</v>
      </c>
      <c r="E1319" s="16">
        <f t="shared" si="40"/>
        <v>40.302</v>
      </c>
      <c r="F1319" s="14"/>
      <c r="G1319" s="14"/>
      <c r="H1319" s="16">
        <f t="shared" si="41"/>
        <v>40.302</v>
      </c>
      <c r="I1319" s="14">
        <v>163</v>
      </c>
    </row>
    <row r="1320" ht="24" customHeight="1" spans="1:9">
      <c r="A1320" s="14" t="str">
        <f>"15132020427"</f>
        <v>15132020427</v>
      </c>
      <c r="B1320" s="15" t="s">
        <v>45</v>
      </c>
      <c r="C1320" s="14" t="s">
        <v>11</v>
      </c>
      <c r="D1320" s="16">
        <v>67.07</v>
      </c>
      <c r="E1320" s="16">
        <f t="shared" si="40"/>
        <v>40.242</v>
      </c>
      <c r="F1320" s="14"/>
      <c r="G1320" s="14"/>
      <c r="H1320" s="16">
        <f t="shared" si="41"/>
        <v>40.242</v>
      </c>
      <c r="I1320" s="14">
        <v>164</v>
      </c>
    </row>
    <row r="1321" ht="24" customHeight="1" spans="1:9">
      <c r="A1321" s="14" t="str">
        <f>"15132020915"</f>
        <v>15132020915</v>
      </c>
      <c r="B1321" s="15" t="s">
        <v>45</v>
      </c>
      <c r="C1321" s="14" t="s">
        <v>11</v>
      </c>
      <c r="D1321" s="16">
        <v>66.93</v>
      </c>
      <c r="E1321" s="16">
        <f t="shared" si="40"/>
        <v>40.158</v>
      </c>
      <c r="F1321" s="14"/>
      <c r="G1321" s="14"/>
      <c r="H1321" s="16">
        <f t="shared" si="41"/>
        <v>40.158</v>
      </c>
      <c r="I1321" s="14">
        <v>165</v>
      </c>
    </row>
    <row r="1322" ht="24" customHeight="1" spans="1:9">
      <c r="A1322" s="14" t="str">
        <f>"15132020312"</f>
        <v>15132020312</v>
      </c>
      <c r="B1322" s="15" t="s">
        <v>45</v>
      </c>
      <c r="C1322" s="14" t="s">
        <v>11</v>
      </c>
      <c r="D1322" s="16">
        <v>66.68</v>
      </c>
      <c r="E1322" s="16">
        <f t="shared" si="40"/>
        <v>40.008</v>
      </c>
      <c r="F1322" s="14"/>
      <c r="G1322" s="14"/>
      <c r="H1322" s="16">
        <f t="shared" si="41"/>
        <v>40.008</v>
      </c>
      <c r="I1322" s="14">
        <v>166</v>
      </c>
    </row>
    <row r="1323" ht="24" customHeight="1" spans="1:9">
      <c r="A1323" s="14" t="str">
        <f>"15132020923"</f>
        <v>15132020923</v>
      </c>
      <c r="B1323" s="15" t="s">
        <v>45</v>
      </c>
      <c r="C1323" s="14" t="s">
        <v>11</v>
      </c>
      <c r="D1323" s="16">
        <v>66.68</v>
      </c>
      <c r="E1323" s="16">
        <f t="shared" si="40"/>
        <v>40.008</v>
      </c>
      <c r="F1323" s="14"/>
      <c r="G1323" s="14"/>
      <c r="H1323" s="16">
        <f t="shared" si="41"/>
        <v>40.008</v>
      </c>
      <c r="I1323" s="14">
        <v>167</v>
      </c>
    </row>
    <row r="1324" ht="24" customHeight="1" spans="1:9">
      <c r="A1324" s="14" t="str">
        <f>"15132020411"</f>
        <v>15132020411</v>
      </c>
      <c r="B1324" s="15" t="s">
        <v>45</v>
      </c>
      <c r="C1324" s="14" t="s">
        <v>11</v>
      </c>
      <c r="D1324" s="16">
        <v>66.67</v>
      </c>
      <c r="E1324" s="16">
        <f t="shared" si="40"/>
        <v>40.002</v>
      </c>
      <c r="F1324" s="14"/>
      <c r="G1324" s="14"/>
      <c r="H1324" s="16">
        <f t="shared" si="41"/>
        <v>40.002</v>
      </c>
      <c r="I1324" s="14">
        <v>168</v>
      </c>
    </row>
    <row r="1325" ht="24" customHeight="1" spans="1:9">
      <c r="A1325" s="14" t="str">
        <f>"15132020620"</f>
        <v>15132020620</v>
      </c>
      <c r="B1325" s="15" t="s">
        <v>45</v>
      </c>
      <c r="C1325" s="14" t="s">
        <v>11</v>
      </c>
      <c r="D1325" s="16">
        <v>66.66</v>
      </c>
      <c r="E1325" s="16">
        <f t="shared" si="40"/>
        <v>39.996</v>
      </c>
      <c r="F1325" s="14"/>
      <c r="G1325" s="14"/>
      <c r="H1325" s="16">
        <f t="shared" si="41"/>
        <v>39.996</v>
      </c>
      <c r="I1325" s="14">
        <v>169</v>
      </c>
    </row>
    <row r="1326" ht="24" customHeight="1" spans="1:9">
      <c r="A1326" s="14" t="str">
        <f>"15132020922"</f>
        <v>15132020922</v>
      </c>
      <c r="B1326" s="15" t="s">
        <v>45</v>
      </c>
      <c r="C1326" s="14" t="s">
        <v>11</v>
      </c>
      <c r="D1326" s="16">
        <v>66.57</v>
      </c>
      <c r="E1326" s="16">
        <f t="shared" si="40"/>
        <v>39.942</v>
      </c>
      <c r="F1326" s="14"/>
      <c r="G1326" s="14"/>
      <c r="H1326" s="16">
        <f t="shared" si="41"/>
        <v>39.942</v>
      </c>
      <c r="I1326" s="14">
        <v>170</v>
      </c>
    </row>
    <row r="1327" ht="24" customHeight="1" spans="1:9">
      <c r="A1327" s="14" t="str">
        <f>"15132020504"</f>
        <v>15132020504</v>
      </c>
      <c r="B1327" s="15" t="s">
        <v>45</v>
      </c>
      <c r="C1327" s="14" t="s">
        <v>11</v>
      </c>
      <c r="D1327" s="16">
        <v>66.41</v>
      </c>
      <c r="E1327" s="16">
        <f t="shared" si="40"/>
        <v>39.846</v>
      </c>
      <c r="F1327" s="14"/>
      <c r="G1327" s="14"/>
      <c r="H1327" s="16">
        <f t="shared" si="41"/>
        <v>39.846</v>
      </c>
      <c r="I1327" s="14">
        <v>171</v>
      </c>
    </row>
    <row r="1328" ht="24" customHeight="1" spans="1:9">
      <c r="A1328" s="14" t="str">
        <f>"15132020305"</f>
        <v>15132020305</v>
      </c>
      <c r="B1328" s="15" t="s">
        <v>45</v>
      </c>
      <c r="C1328" s="14" t="s">
        <v>11</v>
      </c>
      <c r="D1328" s="16">
        <v>66.17</v>
      </c>
      <c r="E1328" s="16">
        <f t="shared" si="40"/>
        <v>39.702</v>
      </c>
      <c r="F1328" s="14"/>
      <c r="G1328" s="14"/>
      <c r="H1328" s="16">
        <f t="shared" si="41"/>
        <v>39.702</v>
      </c>
      <c r="I1328" s="14">
        <v>172</v>
      </c>
    </row>
    <row r="1329" ht="24" customHeight="1" spans="1:9">
      <c r="A1329" s="14" t="str">
        <f>"15132020513"</f>
        <v>15132020513</v>
      </c>
      <c r="B1329" s="15" t="s">
        <v>45</v>
      </c>
      <c r="C1329" s="14" t="s">
        <v>11</v>
      </c>
      <c r="D1329" s="16">
        <v>66.17</v>
      </c>
      <c r="E1329" s="16">
        <f t="shared" si="40"/>
        <v>39.702</v>
      </c>
      <c r="F1329" s="14"/>
      <c r="G1329" s="14"/>
      <c r="H1329" s="16">
        <f t="shared" si="41"/>
        <v>39.702</v>
      </c>
      <c r="I1329" s="14">
        <v>173</v>
      </c>
    </row>
    <row r="1330" ht="24" customHeight="1" spans="1:9">
      <c r="A1330" s="14" t="str">
        <f>"15132020414"</f>
        <v>15132020414</v>
      </c>
      <c r="B1330" s="15" t="s">
        <v>45</v>
      </c>
      <c r="C1330" s="14" t="s">
        <v>11</v>
      </c>
      <c r="D1330" s="16">
        <v>65.91</v>
      </c>
      <c r="E1330" s="16">
        <f t="shared" si="40"/>
        <v>39.546</v>
      </c>
      <c r="F1330" s="14"/>
      <c r="G1330" s="14"/>
      <c r="H1330" s="16">
        <f t="shared" si="41"/>
        <v>39.546</v>
      </c>
      <c r="I1330" s="14">
        <v>174</v>
      </c>
    </row>
    <row r="1331" ht="24" customHeight="1" spans="1:9">
      <c r="A1331" s="14" t="str">
        <f>"15132020702"</f>
        <v>15132020702</v>
      </c>
      <c r="B1331" s="15" t="s">
        <v>45</v>
      </c>
      <c r="C1331" s="14" t="s">
        <v>11</v>
      </c>
      <c r="D1331" s="16">
        <v>65.8</v>
      </c>
      <c r="E1331" s="16">
        <f t="shared" si="40"/>
        <v>39.48</v>
      </c>
      <c r="F1331" s="14"/>
      <c r="G1331" s="14"/>
      <c r="H1331" s="16">
        <f t="shared" si="41"/>
        <v>39.48</v>
      </c>
      <c r="I1331" s="14">
        <v>175</v>
      </c>
    </row>
    <row r="1332" ht="24" customHeight="1" spans="1:9">
      <c r="A1332" s="14" t="str">
        <f>"15132020501"</f>
        <v>15132020501</v>
      </c>
      <c r="B1332" s="15" t="s">
        <v>45</v>
      </c>
      <c r="C1332" s="14" t="s">
        <v>11</v>
      </c>
      <c r="D1332" s="16">
        <v>65.78</v>
      </c>
      <c r="E1332" s="16">
        <f t="shared" si="40"/>
        <v>39.468</v>
      </c>
      <c r="F1332" s="14"/>
      <c r="G1332" s="14"/>
      <c r="H1332" s="16">
        <f t="shared" si="41"/>
        <v>39.468</v>
      </c>
      <c r="I1332" s="14">
        <v>176</v>
      </c>
    </row>
    <row r="1333" ht="24" customHeight="1" spans="1:9">
      <c r="A1333" s="14" t="str">
        <f>"15132020726"</f>
        <v>15132020726</v>
      </c>
      <c r="B1333" s="15" t="s">
        <v>45</v>
      </c>
      <c r="C1333" s="14" t="s">
        <v>11</v>
      </c>
      <c r="D1333" s="16">
        <v>65.63</v>
      </c>
      <c r="E1333" s="16">
        <f t="shared" si="40"/>
        <v>39.378</v>
      </c>
      <c r="F1333" s="14"/>
      <c r="G1333" s="14"/>
      <c r="H1333" s="16">
        <f t="shared" si="41"/>
        <v>39.378</v>
      </c>
      <c r="I1333" s="14">
        <v>177</v>
      </c>
    </row>
    <row r="1334" ht="24" customHeight="1" spans="1:9">
      <c r="A1334" s="14" t="str">
        <f>"15132020705"</f>
        <v>15132020705</v>
      </c>
      <c r="B1334" s="15" t="s">
        <v>45</v>
      </c>
      <c r="C1334" s="14" t="s">
        <v>11</v>
      </c>
      <c r="D1334" s="16">
        <v>65.54</v>
      </c>
      <c r="E1334" s="16">
        <f t="shared" si="40"/>
        <v>39.324</v>
      </c>
      <c r="F1334" s="14"/>
      <c r="G1334" s="14"/>
      <c r="H1334" s="16">
        <f t="shared" si="41"/>
        <v>39.324</v>
      </c>
      <c r="I1334" s="14">
        <v>178</v>
      </c>
    </row>
    <row r="1335" ht="24" customHeight="1" spans="1:9">
      <c r="A1335" s="14" t="str">
        <f>"15132020222"</f>
        <v>15132020222</v>
      </c>
      <c r="B1335" s="15" t="s">
        <v>45</v>
      </c>
      <c r="C1335" s="14" t="s">
        <v>11</v>
      </c>
      <c r="D1335" s="16">
        <v>65.52</v>
      </c>
      <c r="E1335" s="16">
        <f t="shared" si="40"/>
        <v>39.312</v>
      </c>
      <c r="F1335" s="14"/>
      <c r="G1335" s="14"/>
      <c r="H1335" s="16">
        <f t="shared" si="41"/>
        <v>39.312</v>
      </c>
      <c r="I1335" s="14">
        <v>179</v>
      </c>
    </row>
    <row r="1336" ht="24" customHeight="1" spans="1:9">
      <c r="A1336" s="14" t="str">
        <f>"15132020301"</f>
        <v>15132020301</v>
      </c>
      <c r="B1336" s="15" t="s">
        <v>45</v>
      </c>
      <c r="C1336" s="14" t="s">
        <v>11</v>
      </c>
      <c r="D1336" s="16">
        <v>65.4</v>
      </c>
      <c r="E1336" s="16">
        <f t="shared" si="40"/>
        <v>39.24</v>
      </c>
      <c r="F1336" s="14"/>
      <c r="G1336" s="14"/>
      <c r="H1336" s="16">
        <f t="shared" si="41"/>
        <v>39.24</v>
      </c>
      <c r="I1336" s="14">
        <v>180</v>
      </c>
    </row>
    <row r="1337" ht="24" customHeight="1" spans="1:9">
      <c r="A1337" s="14" t="str">
        <f>"15132021014"</f>
        <v>15132021014</v>
      </c>
      <c r="B1337" s="15" t="s">
        <v>45</v>
      </c>
      <c r="C1337" s="14" t="s">
        <v>11</v>
      </c>
      <c r="D1337" s="16">
        <v>65.39</v>
      </c>
      <c r="E1337" s="16">
        <f t="shared" si="40"/>
        <v>39.234</v>
      </c>
      <c r="F1337" s="14"/>
      <c r="G1337" s="14"/>
      <c r="H1337" s="16">
        <f t="shared" si="41"/>
        <v>39.234</v>
      </c>
      <c r="I1337" s="14">
        <v>181</v>
      </c>
    </row>
    <row r="1338" ht="24" customHeight="1" spans="1:9">
      <c r="A1338" s="14" t="str">
        <f>"15132020304"</f>
        <v>15132020304</v>
      </c>
      <c r="B1338" s="15" t="s">
        <v>45</v>
      </c>
      <c r="C1338" s="14" t="s">
        <v>12</v>
      </c>
      <c r="D1338" s="16">
        <v>61.16</v>
      </c>
      <c r="E1338" s="16">
        <f t="shared" si="40"/>
        <v>36.696</v>
      </c>
      <c r="F1338" s="14">
        <v>2.5</v>
      </c>
      <c r="G1338" s="14"/>
      <c r="H1338" s="16">
        <f t="shared" si="41"/>
        <v>39.196</v>
      </c>
      <c r="I1338" s="14">
        <v>182</v>
      </c>
    </row>
    <row r="1339" ht="24" customHeight="1" spans="1:9">
      <c r="A1339" s="14" t="str">
        <f>"15132020226"</f>
        <v>15132020226</v>
      </c>
      <c r="B1339" s="15" t="s">
        <v>45</v>
      </c>
      <c r="C1339" s="14" t="s">
        <v>11</v>
      </c>
      <c r="D1339" s="16">
        <v>65.28</v>
      </c>
      <c r="E1339" s="16">
        <f t="shared" si="40"/>
        <v>39.168</v>
      </c>
      <c r="F1339" s="14"/>
      <c r="G1339" s="14"/>
      <c r="H1339" s="16">
        <f t="shared" si="41"/>
        <v>39.168</v>
      </c>
      <c r="I1339" s="14">
        <v>183</v>
      </c>
    </row>
    <row r="1340" ht="24" customHeight="1" spans="1:9">
      <c r="A1340" s="14" t="str">
        <f>"15132020424"</f>
        <v>15132020424</v>
      </c>
      <c r="B1340" s="15" t="s">
        <v>45</v>
      </c>
      <c r="C1340" s="14" t="s">
        <v>11</v>
      </c>
      <c r="D1340" s="16">
        <v>65.26</v>
      </c>
      <c r="E1340" s="16">
        <f t="shared" si="40"/>
        <v>39.156</v>
      </c>
      <c r="F1340" s="14"/>
      <c r="G1340" s="14"/>
      <c r="H1340" s="16">
        <f t="shared" si="41"/>
        <v>39.156</v>
      </c>
      <c r="I1340" s="14">
        <v>184</v>
      </c>
    </row>
    <row r="1341" ht="24" customHeight="1" spans="1:9">
      <c r="A1341" s="14" t="str">
        <f>"15132020101"</f>
        <v>15132020101</v>
      </c>
      <c r="B1341" s="15" t="s">
        <v>45</v>
      </c>
      <c r="C1341" s="14" t="s">
        <v>12</v>
      </c>
      <c r="D1341" s="16">
        <v>61.02</v>
      </c>
      <c r="E1341" s="16">
        <f t="shared" si="40"/>
        <v>36.612</v>
      </c>
      <c r="F1341" s="14">
        <v>2.5</v>
      </c>
      <c r="G1341" s="14"/>
      <c r="H1341" s="16">
        <f t="shared" si="41"/>
        <v>39.112</v>
      </c>
      <c r="I1341" s="14">
        <v>185</v>
      </c>
    </row>
    <row r="1342" ht="24" customHeight="1" spans="1:9">
      <c r="A1342" s="14" t="str">
        <f>"15132020507"</f>
        <v>15132020507</v>
      </c>
      <c r="B1342" s="15" t="s">
        <v>45</v>
      </c>
      <c r="C1342" s="14" t="s">
        <v>11</v>
      </c>
      <c r="D1342" s="16">
        <v>65.01</v>
      </c>
      <c r="E1342" s="16">
        <f t="shared" si="40"/>
        <v>39.006</v>
      </c>
      <c r="F1342" s="14"/>
      <c r="G1342" s="14"/>
      <c r="H1342" s="16">
        <f t="shared" si="41"/>
        <v>39.006</v>
      </c>
      <c r="I1342" s="14">
        <v>186</v>
      </c>
    </row>
    <row r="1343" ht="24" customHeight="1" spans="1:9">
      <c r="A1343" s="14" t="str">
        <f>"15132020717"</f>
        <v>15132020717</v>
      </c>
      <c r="B1343" s="15" t="s">
        <v>45</v>
      </c>
      <c r="C1343" s="14" t="s">
        <v>11</v>
      </c>
      <c r="D1343" s="16">
        <v>65.01</v>
      </c>
      <c r="E1343" s="16">
        <f t="shared" si="40"/>
        <v>39.006</v>
      </c>
      <c r="F1343" s="14"/>
      <c r="G1343" s="14"/>
      <c r="H1343" s="16">
        <f t="shared" si="41"/>
        <v>39.006</v>
      </c>
      <c r="I1343" s="14">
        <v>187</v>
      </c>
    </row>
    <row r="1344" ht="24" customHeight="1" spans="1:9">
      <c r="A1344" s="14" t="str">
        <f>"15132020124"</f>
        <v>15132020124</v>
      </c>
      <c r="B1344" s="15" t="s">
        <v>45</v>
      </c>
      <c r="C1344" s="14" t="s">
        <v>11</v>
      </c>
      <c r="D1344" s="16">
        <v>64.61</v>
      </c>
      <c r="E1344" s="16">
        <f t="shared" si="40"/>
        <v>38.766</v>
      </c>
      <c r="F1344" s="14"/>
      <c r="G1344" s="14"/>
      <c r="H1344" s="16">
        <f t="shared" si="41"/>
        <v>38.766</v>
      </c>
      <c r="I1344" s="14">
        <v>188</v>
      </c>
    </row>
    <row r="1345" ht="24" customHeight="1" spans="1:9">
      <c r="A1345" s="14" t="str">
        <f>"15132020508"</f>
        <v>15132020508</v>
      </c>
      <c r="B1345" s="15" t="s">
        <v>45</v>
      </c>
      <c r="C1345" s="14" t="s">
        <v>12</v>
      </c>
      <c r="D1345" s="16">
        <v>60.4</v>
      </c>
      <c r="E1345" s="16">
        <f t="shared" si="40"/>
        <v>36.24</v>
      </c>
      <c r="F1345" s="14">
        <v>2.5</v>
      </c>
      <c r="G1345" s="14"/>
      <c r="H1345" s="16">
        <f t="shared" si="41"/>
        <v>38.74</v>
      </c>
      <c r="I1345" s="14">
        <v>189</v>
      </c>
    </row>
    <row r="1346" ht="24" customHeight="1" spans="1:9">
      <c r="A1346" s="14" t="str">
        <f>"15132020418"</f>
        <v>15132020418</v>
      </c>
      <c r="B1346" s="15" t="s">
        <v>45</v>
      </c>
      <c r="C1346" s="14" t="s">
        <v>11</v>
      </c>
      <c r="D1346" s="16">
        <v>64.48</v>
      </c>
      <c r="E1346" s="16">
        <f t="shared" si="40"/>
        <v>38.688</v>
      </c>
      <c r="F1346" s="14"/>
      <c r="G1346" s="14"/>
      <c r="H1346" s="16">
        <f t="shared" si="41"/>
        <v>38.688</v>
      </c>
      <c r="I1346" s="14">
        <v>190</v>
      </c>
    </row>
    <row r="1347" ht="24" customHeight="1" spans="1:9">
      <c r="A1347" s="14" t="str">
        <f>"15132020530"</f>
        <v>15132020530</v>
      </c>
      <c r="B1347" s="15" t="s">
        <v>45</v>
      </c>
      <c r="C1347" s="14" t="s">
        <v>11</v>
      </c>
      <c r="D1347" s="16">
        <v>64.38</v>
      </c>
      <c r="E1347" s="16">
        <f t="shared" ref="E1347:E1410" si="42">D1347*0.6</f>
        <v>38.628</v>
      </c>
      <c r="F1347" s="14"/>
      <c r="G1347" s="14"/>
      <c r="H1347" s="16">
        <f t="shared" ref="H1347:H1410" si="43">SUM(E1347:G1347)</f>
        <v>38.628</v>
      </c>
      <c r="I1347" s="14">
        <v>191</v>
      </c>
    </row>
    <row r="1348" ht="24" customHeight="1" spans="1:9">
      <c r="A1348" s="14" t="str">
        <f>"15132021011"</f>
        <v>15132021011</v>
      </c>
      <c r="B1348" s="15" t="s">
        <v>45</v>
      </c>
      <c r="C1348" s="14" t="s">
        <v>11</v>
      </c>
      <c r="D1348" s="16">
        <v>61.81</v>
      </c>
      <c r="E1348" s="16">
        <f t="shared" si="42"/>
        <v>37.086</v>
      </c>
      <c r="F1348" s="14"/>
      <c r="G1348" s="14">
        <v>1.5</v>
      </c>
      <c r="H1348" s="16">
        <f t="shared" si="43"/>
        <v>38.586</v>
      </c>
      <c r="I1348" s="14">
        <v>192</v>
      </c>
    </row>
    <row r="1349" ht="24" customHeight="1" spans="1:9">
      <c r="A1349" s="14" t="str">
        <f>"15132020125"</f>
        <v>15132020125</v>
      </c>
      <c r="B1349" s="15" t="s">
        <v>45</v>
      </c>
      <c r="C1349" s="14" t="s">
        <v>11</v>
      </c>
      <c r="D1349" s="16">
        <v>64.25</v>
      </c>
      <c r="E1349" s="16">
        <f t="shared" si="42"/>
        <v>38.55</v>
      </c>
      <c r="F1349" s="14"/>
      <c r="G1349" s="14"/>
      <c r="H1349" s="16">
        <f t="shared" si="43"/>
        <v>38.55</v>
      </c>
      <c r="I1349" s="14">
        <v>193</v>
      </c>
    </row>
    <row r="1350" ht="24" customHeight="1" spans="1:9">
      <c r="A1350" s="14" t="str">
        <f>"15132020118"</f>
        <v>15132020118</v>
      </c>
      <c r="B1350" s="15" t="s">
        <v>45</v>
      </c>
      <c r="C1350" s="14" t="s">
        <v>11</v>
      </c>
      <c r="D1350" s="16">
        <v>64.23</v>
      </c>
      <c r="E1350" s="16">
        <f t="shared" si="42"/>
        <v>38.538</v>
      </c>
      <c r="F1350" s="14"/>
      <c r="G1350" s="14"/>
      <c r="H1350" s="16">
        <f t="shared" si="43"/>
        <v>38.538</v>
      </c>
      <c r="I1350" s="14">
        <v>194</v>
      </c>
    </row>
    <row r="1351" ht="24" customHeight="1" spans="1:9">
      <c r="A1351" s="14" t="str">
        <f>"15132020812"</f>
        <v>15132020812</v>
      </c>
      <c r="B1351" s="15" t="s">
        <v>45</v>
      </c>
      <c r="C1351" s="14" t="s">
        <v>11</v>
      </c>
      <c r="D1351" s="16">
        <v>63.99</v>
      </c>
      <c r="E1351" s="16">
        <f t="shared" si="42"/>
        <v>38.394</v>
      </c>
      <c r="F1351" s="14"/>
      <c r="G1351" s="14"/>
      <c r="H1351" s="16">
        <f t="shared" si="43"/>
        <v>38.394</v>
      </c>
      <c r="I1351" s="14">
        <v>195</v>
      </c>
    </row>
    <row r="1352" ht="24" customHeight="1" spans="1:9">
      <c r="A1352" s="14" t="str">
        <f>"15132020621"</f>
        <v>15132020621</v>
      </c>
      <c r="B1352" s="15" t="s">
        <v>45</v>
      </c>
      <c r="C1352" s="14" t="s">
        <v>11</v>
      </c>
      <c r="D1352" s="16">
        <v>63.86</v>
      </c>
      <c r="E1352" s="16">
        <f t="shared" si="42"/>
        <v>38.316</v>
      </c>
      <c r="F1352" s="14"/>
      <c r="G1352" s="14"/>
      <c r="H1352" s="16">
        <f t="shared" si="43"/>
        <v>38.316</v>
      </c>
      <c r="I1352" s="14">
        <v>196</v>
      </c>
    </row>
    <row r="1353" ht="24" customHeight="1" spans="1:9">
      <c r="A1353" s="14" t="str">
        <f>"15132020207"</f>
        <v>15132020207</v>
      </c>
      <c r="B1353" s="15" t="s">
        <v>45</v>
      </c>
      <c r="C1353" s="14" t="s">
        <v>12</v>
      </c>
      <c r="D1353" s="16">
        <v>59.63</v>
      </c>
      <c r="E1353" s="16">
        <f t="shared" si="42"/>
        <v>35.778</v>
      </c>
      <c r="F1353" s="14">
        <v>2.5</v>
      </c>
      <c r="G1353" s="14"/>
      <c r="H1353" s="16">
        <f t="shared" si="43"/>
        <v>38.278</v>
      </c>
      <c r="I1353" s="14">
        <v>197</v>
      </c>
    </row>
    <row r="1354" ht="24" customHeight="1" spans="1:9">
      <c r="A1354" s="14" t="str">
        <f>"15132020602"</f>
        <v>15132020602</v>
      </c>
      <c r="B1354" s="15" t="s">
        <v>45</v>
      </c>
      <c r="C1354" s="14" t="s">
        <v>11</v>
      </c>
      <c r="D1354" s="16">
        <v>63.48</v>
      </c>
      <c r="E1354" s="16">
        <f t="shared" si="42"/>
        <v>38.088</v>
      </c>
      <c r="F1354" s="14"/>
      <c r="G1354" s="14"/>
      <c r="H1354" s="16">
        <f t="shared" si="43"/>
        <v>38.088</v>
      </c>
      <c r="I1354" s="14">
        <v>198</v>
      </c>
    </row>
    <row r="1355" ht="24" customHeight="1" spans="1:9">
      <c r="A1355" s="14" t="str">
        <f>"15132020512"</f>
        <v>15132020512</v>
      </c>
      <c r="B1355" s="15" t="s">
        <v>45</v>
      </c>
      <c r="C1355" s="14" t="s">
        <v>12</v>
      </c>
      <c r="D1355" s="16">
        <v>59.23</v>
      </c>
      <c r="E1355" s="16">
        <f t="shared" si="42"/>
        <v>35.538</v>
      </c>
      <c r="F1355" s="14">
        <v>2.5</v>
      </c>
      <c r="G1355" s="14"/>
      <c r="H1355" s="16">
        <f t="shared" si="43"/>
        <v>38.038</v>
      </c>
      <c r="I1355" s="14">
        <v>199</v>
      </c>
    </row>
    <row r="1356" ht="24" customHeight="1" spans="1:9">
      <c r="A1356" s="14" t="str">
        <f>"15132020729"</f>
        <v>15132020729</v>
      </c>
      <c r="B1356" s="15" t="s">
        <v>45</v>
      </c>
      <c r="C1356" s="14" t="s">
        <v>11</v>
      </c>
      <c r="D1356" s="16">
        <v>63.36</v>
      </c>
      <c r="E1356" s="16">
        <f t="shared" si="42"/>
        <v>38.016</v>
      </c>
      <c r="F1356" s="14"/>
      <c r="G1356" s="14"/>
      <c r="H1356" s="16">
        <f t="shared" si="43"/>
        <v>38.016</v>
      </c>
      <c r="I1356" s="14">
        <v>200</v>
      </c>
    </row>
    <row r="1357" ht="24" customHeight="1" spans="1:9">
      <c r="A1357" s="14" t="str">
        <f>"15132020830"</f>
        <v>15132020830</v>
      </c>
      <c r="B1357" s="15" t="s">
        <v>45</v>
      </c>
      <c r="C1357" s="14" t="s">
        <v>11</v>
      </c>
      <c r="D1357" s="16">
        <v>63.36</v>
      </c>
      <c r="E1357" s="16">
        <f t="shared" si="42"/>
        <v>38.016</v>
      </c>
      <c r="F1357" s="14"/>
      <c r="G1357" s="14"/>
      <c r="H1357" s="16">
        <f t="shared" si="43"/>
        <v>38.016</v>
      </c>
      <c r="I1357" s="14">
        <v>201</v>
      </c>
    </row>
    <row r="1358" ht="24" customHeight="1" spans="1:9">
      <c r="A1358" s="14" t="str">
        <f>"15132021023"</f>
        <v>15132021023</v>
      </c>
      <c r="B1358" s="15" t="s">
        <v>45</v>
      </c>
      <c r="C1358" s="14" t="s">
        <v>11</v>
      </c>
      <c r="D1358" s="16">
        <v>63.36</v>
      </c>
      <c r="E1358" s="16">
        <f t="shared" si="42"/>
        <v>38.016</v>
      </c>
      <c r="F1358" s="14"/>
      <c r="G1358" s="14"/>
      <c r="H1358" s="16">
        <f t="shared" si="43"/>
        <v>38.016</v>
      </c>
      <c r="I1358" s="14">
        <v>202</v>
      </c>
    </row>
    <row r="1359" ht="24" customHeight="1" spans="1:9">
      <c r="A1359" s="14" t="str">
        <f>"15132021007"</f>
        <v>15132021007</v>
      </c>
      <c r="B1359" s="15" t="s">
        <v>45</v>
      </c>
      <c r="C1359" s="14" t="s">
        <v>11</v>
      </c>
      <c r="D1359" s="16">
        <v>63.35</v>
      </c>
      <c r="E1359" s="16">
        <f t="shared" si="42"/>
        <v>38.01</v>
      </c>
      <c r="F1359" s="14"/>
      <c r="G1359" s="14"/>
      <c r="H1359" s="16">
        <f t="shared" si="43"/>
        <v>38.01</v>
      </c>
      <c r="I1359" s="14">
        <v>203</v>
      </c>
    </row>
    <row r="1360" ht="24" customHeight="1" spans="1:9">
      <c r="A1360" s="14" t="str">
        <f>"15132020120"</f>
        <v>15132020120</v>
      </c>
      <c r="B1360" s="15" t="s">
        <v>45</v>
      </c>
      <c r="C1360" s="14" t="s">
        <v>11</v>
      </c>
      <c r="D1360" s="16">
        <v>63.1</v>
      </c>
      <c r="E1360" s="16">
        <f t="shared" si="42"/>
        <v>37.86</v>
      </c>
      <c r="F1360" s="14"/>
      <c r="G1360" s="14"/>
      <c r="H1360" s="16">
        <f t="shared" si="43"/>
        <v>37.86</v>
      </c>
      <c r="I1360" s="14">
        <v>204</v>
      </c>
    </row>
    <row r="1361" ht="24" customHeight="1" spans="1:9">
      <c r="A1361" s="14" t="str">
        <f>"15132020711"</f>
        <v>15132020711</v>
      </c>
      <c r="B1361" s="15" t="s">
        <v>45</v>
      </c>
      <c r="C1361" s="14" t="s">
        <v>11</v>
      </c>
      <c r="D1361" s="16">
        <v>63.08</v>
      </c>
      <c r="E1361" s="16">
        <f t="shared" si="42"/>
        <v>37.848</v>
      </c>
      <c r="F1361" s="14"/>
      <c r="G1361" s="14"/>
      <c r="H1361" s="16">
        <f t="shared" si="43"/>
        <v>37.848</v>
      </c>
      <c r="I1361" s="14">
        <v>205</v>
      </c>
    </row>
    <row r="1362" ht="24" customHeight="1" spans="1:9">
      <c r="A1362" s="14" t="str">
        <f>"15132020326"</f>
        <v>15132020326</v>
      </c>
      <c r="B1362" s="15" t="s">
        <v>45</v>
      </c>
      <c r="C1362" s="14" t="s">
        <v>11</v>
      </c>
      <c r="D1362" s="16">
        <v>62.96</v>
      </c>
      <c r="E1362" s="16">
        <f t="shared" si="42"/>
        <v>37.776</v>
      </c>
      <c r="F1362" s="14"/>
      <c r="G1362" s="14"/>
      <c r="H1362" s="16">
        <f t="shared" si="43"/>
        <v>37.776</v>
      </c>
      <c r="I1362" s="14">
        <v>206</v>
      </c>
    </row>
    <row r="1363" ht="24" customHeight="1" spans="1:9">
      <c r="A1363" s="14" t="str">
        <f>"15132020808"</f>
        <v>15132020808</v>
      </c>
      <c r="B1363" s="15" t="s">
        <v>45</v>
      </c>
      <c r="C1363" s="14" t="s">
        <v>11</v>
      </c>
      <c r="D1363" s="16">
        <v>61.29</v>
      </c>
      <c r="E1363" s="16">
        <f t="shared" si="42"/>
        <v>36.774</v>
      </c>
      <c r="F1363" s="14"/>
      <c r="G1363" s="14">
        <v>1</v>
      </c>
      <c r="H1363" s="16">
        <f t="shared" si="43"/>
        <v>37.774</v>
      </c>
      <c r="I1363" s="14">
        <v>207</v>
      </c>
    </row>
    <row r="1364" ht="24" customHeight="1" spans="1:9">
      <c r="A1364" s="14" t="str">
        <f>"15132020201"</f>
        <v>15132020201</v>
      </c>
      <c r="B1364" s="15" t="s">
        <v>45</v>
      </c>
      <c r="C1364" s="14" t="s">
        <v>11</v>
      </c>
      <c r="D1364" s="16">
        <v>62.59</v>
      </c>
      <c r="E1364" s="16">
        <f t="shared" si="42"/>
        <v>37.554</v>
      </c>
      <c r="F1364" s="14"/>
      <c r="G1364" s="14"/>
      <c r="H1364" s="16">
        <f t="shared" si="43"/>
        <v>37.554</v>
      </c>
      <c r="I1364" s="14">
        <v>208</v>
      </c>
    </row>
    <row r="1365" ht="24" customHeight="1" spans="1:9">
      <c r="A1365" s="14" t="str">
        <f>"15132020416"</f>
        <v>15132020416</v>
      </c>
      <c r="B1365" s="15" t="s">
        <v>45</v>
      </c>
      <c r="C1365" s="14" t="s">
        <v>11</v>
      </c>
      <c r="D1365" s="16">
        <v>62.57</v>
      </c>
      <c r="E1365" s="16">
        <f t="shared" si="42"/>
        <v>37.542</v>
      </c>
      <c r="F1365" s="14"/>
      <c r="G1365" s="14"/>
      <c r="H1365" s="16">
        <f t="shared" si="43"/>
        <v>37.542</v>
      </c>
      <c r="I1365" s="14">
        <v>209</v>
      </c>
    </row>
    <row r="1366" ht="24" customHeight="1" spans="1:9">
      <c r="A1366" s="14" t="str">
        <f>"15132020811"</f>
        <v>15132020811</v>
      </c>
      <c r="B1366" s="15" t="s">
        <v>45</v>
      </c>
      <c r="C1366" s="14" t="s">
        <v>11</v>
      </c>
      <c r="D1366" s="16">
        <v>62.44</v>
      </c>
      <c r="E1366" s="16">
        <f t="shared" si="42"/>
        <v>37.464</v>
      </c>
      <c r="F1366" s="14"/>
      <c r="G1366" s="14"/>
      <c r="H1366" s="16">
        <f t="shared" si="43"/>
        <v>37.464</v>
      </c>
      <c r="I1366" s="14">
        <v>210</v>
      </c>
    </row>
    <row r="1367" ht="24" customHeight="1" spans="1:9">
      <c r="A1367" s="14" t="str">
        <f>"15132020920"</f>
        <v>15132020920</v>
      </c>
      <c r="B1367" s="15" t="s">
        <v>45</v>
      </c>
      <c r="C1367" s="14" t="s">
        <v>11</v>
      </c>
      <c r="D1367" s="16">
        <v>62.31</v>
      </c>
      <c r="E1367" s="16">
        <f t="shared" si="42"/>
        <v>37.386</v>
      </c>
      <c r="F1367" s="14"/>
      <c r="G1367" s="14"/>
      <c r="H1367" s="16">
        <f t="shared" si="43"/>
        <v>37.386</v>
      </c>
      <c r="I1367" s="14">
        <v>211</v>
      </c>
    </row>
    <row r="1368" ht="24" customHeight="1" spans="1:9">
      <c r="A1368" s="14" t="str">
        <f>"15132020829"</f>
        <v>15132020829</v>
      </c>
      <c r="B1368" s="15" t="s">
        <v>45</v>
      </c>
      <c r="C1368" s="14" t="s">
        <v>12</v>
      </c>
      <c r="D1368" s="16">
        <v>58.09</v>
      </c>
      <c r="E1368" s="16">
        <f t="shared" si="42"/>
        <v>34.854</v>
      </c>
      <c r="F1368" s="14">
        <v>2.5</v>
      </c>
      <c r="G1368" s="14"/>
      <c r="H1368" s="16">
        <f t="shared" si="43"/>
        <v>37.354</v>
      </c>
      <c r="I1368" s="14">
        <v>212</v>
      </c>
    </row>
    <row r="1369" ht="24" customHeight="1" spans="1:9">
      <c r="A1369" s="14" t="str">
        <f>"15132020316"</f>
        <v>15132020316</v>
      </c>
      <c r="B1369" s="15" t="s">
        <v>45</v>
      </c>
      <c r="C1369" s="14" t="s">
        <v>11</v>
      </c>
      <c r="D1369" s="16">
        <v>62.18</v>
      </c>
      <c r="E1369" s="16">
        <f t="shared" si="42"/>
        <v>37.308</v>
      </c>
      <c r="F1369" s="14"/>
      <c r="G1369" s="14"/>
      <c r="H1369" s="16">
        <f t="shared" si="43"/>
        <v>37.308</v>
      </c>
      <c r="I1369" s="14">
        <v>213</v>
      </c>
    </row>
    <row r="1370" ht="24" customHeight="1" spans="1:9">
      <c r="A1370" s="14" t="str">
        <f>"15132020921"</f>
        <v>15132020921</v>
      </c>
      <c r="B1370" s="15" t="s">
        <v>45</v>
      </c>
      <c r="C1370" s="14" t="s">
        <v>11</v>
      </c>
      <c r="D1370" s="16">
        <v>62.18</v>
      </c>
      <c r="E1370" s="16">
        <f t="shared" si="42"/>
        <v>37.308</v>
      </c>
      <c r="F1370" s="14"/>
      <c r="G1370" s="14"/>
      <c r="H1370" s="16">
        <f t="shared" si="43"/>
        <v>37.308</v>
      </c>
      <c r="I1370" s="14">
        <v>214</v>
      </c>
    </row>
    <row r="1371" ht="24" customHeight="1" spans="1:9">
      <c r="A1371" s="14" t="str">
        <f>"15132021017"</f>
        <v>15132021017</v>
      </c>
      <c r="B1371" s="15" t="s">
        <v>45</v>
      </c>
      <c r="C1371" s="14" t="s">
        <v>11</v>
      </c>
      <c r="D1371" s="16">
        <v>59.65</v>
      </c>
      <c r="E1371" s="16">
        <f t="shared" si="42"/>
        <v>35.79</v>
      </c>
      <c r="F1371" s="14"/>
      <c r="G1371" s="14">
        <v>1.5</v>
      </c>
      <c r="H1371" s="16">
        <f t="shared" si="43"/>
        <v>37.29</v>
      </c>
      <c r="I1371" s="14">
        <v>215</v>
      </c>
    </row>
    <row r="1372" ht="24" customHeight="1" spans="1:9">
      <c r="A1372" s="14" t="str">
        <f>"15132020328"</f>
        <v>15132020328</v>
      </c>
      <c r="B1372" s="15" t="s">
        <v>45</v>
      </c>
      <c r="C1372" s="14" t="s">
        <v>11</v>
      </c>
      <c r="D1372" s="16">
        <v>62.04</v>
      </c>
      <c r="E1372" s="16">
        <f t="shared" si="42"/>
        <v>37.224</v>
      </c>
      <c r="F1372" s="14"/>
      <c r="G1372" s="14"/>
      <c r="H1372" s="16">
        <f t="shared" si="43"/>
        <v>37.224</v>
      </c>
      <c r="I1372" s="14">
        <v>216</v>
      </c>
    </row>
    <row r="1373" ht="24" customHeight="1" spans="1:9">
      <c r="A1373" s="14" t="str">
        <f>"15132020503"</f>
        <v>15132020503</v>
      </c>
      <c r="B1373" s="15" t="s">
        <v>45</v>
      </c>
      <c r="C1373" s="14" t="s">
        <v>11</v>
      </c>
      <c r="D1373" s="16">
        <v>61.94</v>
      </c>
      <c r="E1373" s="16">
        <f t="shared" si="42"/>
        <v>37.164</v>
      </c>
      <c r="F1373" s="14"/>
      <c r="G1373" s="14"/>
      <c r="H1373" s="16">
        <f t="shared" si="43"/>
        <v>37.164</v>
      </c>
      <c r="I1373" s="14">
        <v>217</v>
      </c>
    </row>
    <row r="1374" ht="24" customHeight="1" spans="1:9">
      <c r="A1374" s="14" t="str">
        <f>"15132020606"</f>
        <v>15132020606</v>
      </c>
      <c r="B1374" s="15" t="s">
        <v>45</v>
      </c>
      <c r="C1374" s="14" t="s">
        <v>11</v>
      </c>
      <c r="D1374" s="16">
        <v>61.83</v>
      </c>
      <c r="E1374" s="16">
        <f t="shared" si="42"/>
        <v>37.098</v>
      </c>
      <c r="F1374" s="14"/>
      <c r="G1374" s="14"/>
      <c r="H1374" s="16">
        <f t="shared" si="43"/>
        <v>37.098</v>
      </c>
      <c r="I1374" s="14">
        <v>218</v>
      </c>
    </row>
    <row r="1375" ht="24" customHeight="1" spans="1:9">
      <c r="A1375" s="14" t="str">
        <f>"15132020419"</f>
        <v>15132020419</v>
      </c>
      <c r="B1375" s="15" t="s">
        <v>45</v>
      </c>
      <c r="C1375" s="14" t="s">
        <v>11</v>
      </c>
      <c r="D1375" s="16">
        <v>61.81</v>
      </c>
      <c r="E1375" s="16">
        <f t="shared" si="42"/>
        <v>37.086</v>
      </c>
      <c r="F1375" s="14"/>
      <c r="G1375" s="14"/>
      <c r="H1375" s="16">
        <f t="shared" si="43"/>
        <v>37.086</v>
      </c>
      <c r="I1375" s="14">
        <v>219</v>
      </c>
    </row>
    <row r="1376" ht="24" customHeight="1" spans="1:9">
      <c r="A1376" s="14" t="str">
        <f>"15132020324"</f>
        <v>15132020324</v>
      </c>
      <c r="B1376" s="15" t="s">
        <v>45</v>
      </c>
      <c r="C1376" s="14" t="s">
        <v>11</v>
      </c>
      <c r="D1376" s="16">
        <v>61.79</v>
      </c>
      <c r="E1376" s="16">
        <f t="shared" si="42"/>
        <v>37.074</v>
      </c>
      <c r="F1376" s="14"/>
      <c r="G1376" s="14"/>
      <c r="H1376" s="16">
        <f t="shared" si="43"/>
        <v>37.074</v>
      </c>
      <c r="I1376" s="14">
        <v>220</v>
      </c>
    </row>
    <row r="1377" ht="24" customHeight="1" spans="1:9">
      <c r="A1377" s="14" t="str">
        <f>"15132020209"</f>
        <v>15132020209</v>
      </c>
      <c r="B1377" s="15" t="s">
        <v>45</v>
      </c>
      <c r="C1377" s="14" t="s">
        <v>11</v>
      </c>
      <c r="D1377" s="16">
        <v>61.42</v>
      </c>
      <c r="E1377" s="16">
        <f t="shared" si="42"/>
        <v>36.852</v>
      </c>
      <c r="F1377" s="14"/>
      <c r="G1377" s="14"/>
      <c r="H1377" s="16">
        <f t="shared" si="43"/>
        <v>36.852</v>
      </c>
      <c r="I1377" s="14">
        <v>221</v>
      </c>
    </row>
    <row r="1378" ht="24" customHeight="1" spans="1:9">
      <c r="A1378" s="14" t="str">
        <f>"15132021016"</f>
        <v>15132021016</v>
      </c>
      <c r="B1378" s="15" t="s">
        <v>45</v>
      </c>
      <c r="C1378" s="14" t="s">
        <v>11</v>
      </c>
      <c r="D1378" s="16">
        <v>61.3</v>
      </c>
      <c r="E1378" s="16">
        <f t="shared" si="42"/>
        <v>36.78</v>
      </c>
      <c r="F1378" s="14"/>
      <c r="G1378" s="14"/>
      <c r="H1378" s="16">
        <f t="shared" si="43"/>
        <v>36.78</v>
      </c>
      <c r="I1378" s="14">
        <v>222</v>
      </c>
    </row>
    <row r="1379" ht="24" customHeight="1" spans="1:9">
      <c r="A1379" s="14" t="str">
        <f>"15132020628"</f>
        <v>15132020628</v>
      </c>
      <c r="B1379" s="15" t="s">
        <v>45</v>
      </c>
      <c r="C1379" s="14" t="s">
        <v>11</v>
      </c>
      <c r="D1379" s="16">
        <v>61.29</v>
      </c>
      <c r="E1379" s="16">
        <f t="shared" si="42"/>
        <v>36.774</v>
      </c>
      <c r="F1379" s="14"/>
      <c r="G1379" s="14"/>
      <c r="H1379" s="16">
        <f t="shared" si="43"/>
        <v>36.774</v>
      </c>
      <c r="I1379" s="14">
        <v>223</v>
      </c>
    </row>
    <row r="1380" ht="24" customHeight="1" spans="1:9">
      <c r="A1380" s="14" t="str">
        <f>"15132020103"</f>
        <v>15132020103</v>
      </c>
      <c r="B1380" s="15" t="s">
        <v>45</v>
      </c>
      <c r="C1380" s="14" t="s">
        <v>11</v>
      </c>
      <c r="D1380" s="16">
        <v>61.17</v>
      </c>
      <c r="E1380" s="16">
        <f t="shared" si="42"/>
        <v>36.702</v>
      </c>
      <c r="F1380" s="14"/>
      <c r="G1380" s="14"/>
      <c r="H1380" s="16">
        <f t="shared" si="43"/>
        <v>36.702</v>
      </c>
      <c r="I1380" s="14">
        <v>224</v>
      </c>
    </row>
    <row r="1381" ht="24" customHeight="1" spans="1:9">
      <c r="A1381" s="14" t="str">
        <f>"15132021013"</f>
        <v>15132021013</v>
      </c>
      <c r="B1381" s="15" t="s">
        <v>45</v>
      </c>
      <c r="C1381" s="14" t="s">
        <v>11</v>
      </c>
      <c r="D1381" s="16">
        <v>61.17</v>
      </c>
      <c r="E1381" s="16">
        <f t="shared" si="42"/>
        <v>36.702</v>
      </c>
      <c r="F1381" s="14"/>
      <c r="G1381" s="14"/>
      <c r="H1381" s="16">
        <f t="shared" si="43"/>
        <v>36.702</v>
      </c>
      <c r="I1381" s="14">
        <v>225</v>
      </c>
    </row>
    <row r="1382" ht="24" customHeight="1" spans="1:9">
      <c r="A1382" s="14" t="str">
        <f>"15132020616"</f>
        <v>15132020616</v>
      </c>
      <c r="B1382" s="15" t="s">
        <v>45</v>
      </c>
      <c r="C1382" s="14" t="s">
        <v>11</v>
      </c>
      <c r="D1382" s="16">
        <v>61.16</v>
      </c>
      <c r="E1382" s="16">
        <f t="shared" si="42"/>
        <v>36.696</v>
      </c>
      <c r="F1382" s="14"/>
      <c r="G1382" s="14"/>
      <c r="H1382" s="16">
        <f t="shared" si="43"/>
        <v>36.696</v>
      </c>
      <c r="I1382" s="14">
        <v>226</v>
      </c>
    </row>
    <row r="1383" ht="24" customHeight="1" spans="1:9">
      <c r="A1383" s="14" t="str">
        <f>"15132021001"</f>
        <v>15132021001</v>
      </c>
      <c r="B1383" s="15" t="s">
        <v>45</v>
      </c>
      <c r="C1383" s="14" t="s">
        <v>11</v>
      </c>
      <c r="D1383" s="16">
        <v>60.9</v>
      </c>
      <c r="E1383" s="16">
        <f t="shared" si="42"/>
        <v>36.54</v>
      </c>
      <c r="F1383" s="14"/>
      <c r="G1383" s="14"/>
      <c r="H1383" s="16">
        <f t="shared" si="43"/>
        <v>36.54</v>
      </c>
      <c r="I1383" s="14">
        <v>227</v>
      </c>
    </row>
    <row r="1384" ht="24" customHeight="1" spans="1:9">
      <c r="A1384" s="14" t="str">
        <f>"15132020429"</f>
        <v>15132020429</v>
      </c>
      <c r="B1384" s="15" t="s">
        <v>45</v>
      </c>
      <c r="C1384" s="14" t="s">
        <v>11</v>
      </c>
      <c r="D1384" s="16">
        <v>60.67</v>
      </c>
      <c r="E1384" s="16">
        <f t="shared" si="42"/>
        <v>36.402</v>
      </c>
      <c r="F1384" s="14"/>
      <c r="G1384" s="14"/>
      <c r="H1384" s="16">
        <f t="shared" si="43"/>
        <v>36.402</v>
      </c>
      <c r="I1384" s="14">
        <v>228</v>
      </c>
    </row>
    <row r="1385" ht="24" customHeight="1" spans="1:9">
      <c r="A1385" s="14" t="str">
        <f>"15132020409"</f>
        <v>15132020409</v>
      </c>
      <c r="B1385" s="15" t="s">
        <v>45</v>
      </c>
      <c r="C1385" s="14" t="s">
        <v>11</v>
      </c>
      <c r="D1385" s="16">
        <v>60.66</v>
      </c>
      <c r="E1385" s="16">
        <f t="shared" si="42"/>
        <v>36.396</v>
      </c>
      <c r="F1385" s="14"/>
      <c r="G1385" s="14"/>
      <c r="H1385" s="16">
        <f t="shared" si="43"/>
        <v>36.396</v>
      </c>
      <c r="I1385" s="14">
        <v>229</v>
      </c>
    </row>
    <row r="1386" ht="24" customHeight="1" spans="1:9">
      <c r="A1386" s="14" t="str">
        <f>"15132020703"</f>
        <v>15132020703</v>
      </c>
      <c r="B1386" s="15" t="s">
        <v>45</v>
      </c>
      <c r="C1386" s="14" t="s">
        <v>11</v>
      </c>
      <c r="D1386" s="16">
        <v>60.53</v>
      </c>
      <c r="E1386" s="16">
        <f t="shared" si="42"/>
        <v>36.318</v>
      </c>
      <c r="F1386" s="14"/>
      <c r="G1386" s="14"/>
      <c r="H1386" s="16">
        <f t="shared" si="43"/>
        <v>36.318</v>
      </c>
      <c r="I1386" s="14">
        <v>230</v>
      </c>
    </row>
    <row r="1387" ht="24" customHeight="1" spans="1:9">
      <c r="A1387" s="14" t="str">
        <f>"15132020221"</f>
        <v>15132020221</v>
      </c>
      <c r="B1387" s="15" t="s">
        <v>45</v>
      </c>
      <c r="C1387" s="14" t="s">
        <v>12</v>
      </c>
      <c r="D1387" s="16">
        <v>56.3</v>
      </c>
      <c r="E1387" s="16">
        <f t="shared" si="42"/>
        <v>33.78</v>
      </c>
      <c r="F1387" s="14">
        <v>2.5</v>
      </c>
      <c r="G1387" s="14"/>
      <c r="H1387" s="16">
        <f t="shared" si="43"/>
        <v>36.28</v>
      </c>
      <c r="I1387" s="14">
        <v>231</v>
      </c>
    </row>
    <row r="1388" ht="24" customHeight="1" spans="1:9">
      <c r="A1388" s="14" t="str">
        <f>"15132020404"</f>
        <v>15132020404</v>
      </c>
      <c r="B1388" s="15" t="s">
        <v>45</v>
      </c>
      <c r="C1388" s="14" t="s">
        <v>11</v>
      </c>
      <c r="D1388" s="16">
        <v>60.27</v>
      </c>
      <c r="E1388" s="16">
        <f t="shared" si="42"/>
        <v>36.162</v>
      </c>
      <c r="F1388" s="14"/>
      <c r="G1388" s="14"/>
      <c r="H1388" s="16">
        <f t="shared" si="43"/>
        <v>36.162</v>
      </c>
      <c r="I1388" s="14">
        <v>232</v>
      </c>
    </row>
    <row r="1389" ht="24" customHeight="1" spans="1:9">
      <c r="A1389" s="14" t="str">
        <f>"15132020817"</f>
        <v>15132020817</v>
      </c>
      <c r="B1389" s="15" t="s">
        <v>45</v>
      </c>
      <c r="C1389" s="14" t="s">
        <v>11</v>
      </c>
      <c r="D1389" s="16">
        <v>60.27</v>
      </c>
      <c r="E1389" s="16">
        <f t="shared" si="42"/>
        <v>36.162</v>
      </c>
      <c r="F1389" s="14"/>
      <c r="G1389" s="14"/>
      <c r="H1389" s="16">
        <f t="shared" si="43"/>
        <v>36.162</v>
      </c>
      <c r="I1389" s="14">
        <v>233</v>
      </c>
    </row>
    <row r="1390" ht="24" customHeight="1" spans="1:9">
      <c r="A1390" s="14" t="str">
        <f>"15132020919"</f>
        <v>15132020919</v>
      </c>
      <c r="B1390" s="15" t="s">
        <v>45</v>
      </c>
      <c r="C1390" s="14" t="s">
        <v>12</v>
      </c>
      <c r="D1390" s="16">
        <v>55.91</v>
      </c>
      <c r="E1390" s="16">
        <f t="shared" si="42"/>
        <v>33.546</v>
      </c>
      <c r="F1390" s="14">
        <v>2.5</v>
      </c>
      <c r="G1390" s="14"/>
      <c r="H1390" s="16">
        <f t="shared" si="43"/>
        <v>36.046</v>
      </c>
      <c r="I1390" s="14">
        <v>234</v>
      </c>
    </row>
    <row r="1391" ht="24" customHeight="1" spans="1:9">
      <c r="A1391" s="14" t="str">
        <f>"15132020819"</f>
        <v>15132020819</v>
      </c>
      <c r="B1391" s="15" t="s">
        <v>45</v>
      </c>
      <c r="C1391" s="14" t="s">
        <v>12</v>
      </c>
      <c r="D1391" s="16">
        <v>55.79</v>
      </c>
      <c r="E1391" s="16">
        <f t="shared" si="42"/>
        <v>33.474</v>
      </c>
      <c r="F1391" s="14">
        <v>2.5</v>
      </c>
      <c r="G1391" s="14"/>
      <c r="H1391" s="16">
        <f t="shared" si="43"/>
        <v>35.974</v>
      </c>
      <c r="I1391" s="14">
        <v>235</v>
      </c>
    </row>
    <row r="1392" ht="24" customHeight="1" spans="1:9">
      <c r="A1392" s="14" t="str">
        <f>"15132020218"</f>
        <v>15132020218</v>
      </c>
      <c r="B1392" s="15" t="s">
        <v>45</v>
      </c>
      <c r="C1392" s="14" t="s">
        <v>11</v>
      </c>
      <c r="D1392" s="16">
        <v>59.88</v>
      </c>
      <c r="E1392" s="16">
        <f t="shared" si="42"/>
        <v>35.928</v>
      </c>
      <c r="F1392" s="14"/>
      <c r="G1392" s="14"/>
      <c r="H1392" s="16">
        <f t="shared" si="43"/>
        <v>35.928</v>
      </c>
      <c r="I1392" s="14">
        <v>236</v>
      </c>
    </row>
    <row r="1393" ht="24" customHeight="1" spans="1:9">
      <c r="A1393" s="14" t="str">
        <f>"15132020716"</f>
        <v>15132020716</v>
      </c>
      <c r="B1393" s="15" t="s">
        <v>45</v>
      </c>
      <c r="C1393" s="14" t="s">
        <v>11</v>
      </c>
      <c r="D1393" s="16">
        <v>59.62</v>
      </c>
      <c r="E1393" s="16">
        <f t="shared" si="42"/>
        <v>35.772</v>
      </c>
      <c r="F1393" s="14"/>
      <c r="G1393" s="14"/>
      <c r="H1393" s="16">
        <f t="shared" si="43"/>
        <v>35.772</v>
      </c>
      <c r="I1393" s="14">
        <v>237</v>
      </c>
    </row>
    <row r="1394" ht="24" customHeight="1" spans="1:9">
      <c r="A1394" s="14" t="str">
        <f>"15132021002"</f>
        <v>15132021002</v>
      </c>
      <c r="B1394" s="15" t="s">
        <v>45</v>
      </c>
      <c r="C1394" s="14" t="s">
        <v>11</v>
      </c>
      <c r="D1394" s="16">
        <v>59.5</v>
      </c>
      <c r="E1394" s="16">
        <f t="shared" si="42"/>
        <v>35.7</v>
      </c>
      <c r="F1394" s="14"/>
      <c r="G1394" s="14"/>
      <c r="H1394" s="16">
        <f t="shared" si="43"/>
        <v>35.7</v>
      </c>
      <c r="I1394" s="14">
        <v>238</v>
      </c>
    </row>
    <row r="1395" ht="24" customHeight="1" spans="1:9">
      <c r="A1395" s="14" t="str">
        <f>"15132021019"</f>
        <v>15132021019</v>
      </c>
      <c r="B1395" s="15" t="s">
        <v>45</v>
      </c>
      <c r="C1395" s="14" t="s">
        <v>12</v>
      </c>
      <c r="D1395" s="16">
        <v>55.26</v>
      </c>
      <c r="E1395" s="16">
        <f t="shared" si="42"/>
        <v>33.156</v>
      </c>
      <c r="F1395" s="14">
        <v>2.5</v>
      </c>
      <c r="G1395" s="14"/>
      <c r="H1395" s="16">
        <f t="shared" si="43"/>
        <v>35.656</v>
      </c>
      <c r="I1395" s="14">
        <v>239</v>
      </c>
    </row>
    <row r="1396" ht="24" customHeight="1" spans="1:9">
      <c r="A1396" s="14" t="str">
        <f>"15132020609"</f>
        <v>15132020609</v>
      </c>
      <c r="B1396" s="15" t="s">
        <v>45</v>
      </c>
      <c r="C1396" s="14" t="s">
        <v>11</v>
      </c>
      <c r="D1396" s="16">
        <v>59.38</v>
      </c>
      <c r="E1396" s="16">
        <f t="shared" si="42"/>
        <v>35.628</v>
      </c>
      <c r="F1396" s="14"/>
      <c r="G1396" s="14"/>
      <c r="H1396" s="16">
        <f t="shared" si="43"/>
        <v>35.628</v>
      </c>
      <c r="I1396" s="14">
        <v>240</v>
      </c>
    </row>
    <row r="1397" ht="24" customHeight="1" spans="1:9">
      <c r="A1397" s="14" t="str">
        <f>"15132021020"</f>
        <v>15132021020</v>
      </c>
      <c r="B1397" s="15" t="s">
        <v>45</v>
      </c>
      <c r="C1397" s="14" t="s">
        <v>11</v>
      </c>
      <c r="D1397" s="16">
        <v>59.25</v>
      </c>
      <c r="E1397" s="16">
        <f t="shared" si="42"/>
        <v>35.55</v>
      </c>
      <c r="F1397" s="14"/>
      <c r="G1397" s="14"/>
      <c r="H1397" s="16">
        <f t="shared" si="43"/>
        <v>35.55</v>
      </c>
      <c r="I1397" s="14">
        <v>241</v>
      </c>
    </row>
    <row r="1398" ht="24" customHeight="1" spans="1:9">
      <c r="A1398" s="14" t="str">
        <f>"15132020510"</f>
        <v>15132020510</v>
      </c>
      <c r="B1398" s="15" t="s">
        <v>45</v>
      </c>
      <c r="C1398" s="14" t="s">
        <v>12</v>
      </c>
      <c r="D1398" s="16">
        <v>54.89</v>
      </c>
      <c r="E1398" s="16">
        <f t="shared" si="42"/>
        <v>32.934</v>
      </c>
      <c r="F1398" s="14">
        <v>2.5</v>
      </c>
      <c r="G1398" s="14"/>
      <c r="H1398" s="16">
        <f t="shared" si="43"/>
        <v>35.434</v>
      </c>
      <c r="I1398" s="14">
        <v>242</v>
      </c>
    </row>
    <row r="1399" ht="24" customHeight="1" spans="1:9">
      <c r="A1399" s="14" t="str">
        <f>"15132020917"</f>
        <v>15132020917</v>
      </c>
      <c r="B1399" s="15" t="s">
        <v>45</v>
      </c>
      <c r="C1399" s="14" t="s">
        <v>11</v>
      </c>
      <c r="D1399" s="16">
        <v>58.99</v>
      </c>
      <c r="E1399" s="16">
        <f t="shared" si="42"/>
        <v>35.394</v>
      </c>
      <c r="F1399" s="14"/>
      <c r="G1399" s="14"/>
      <c r="H1399" s="16">
        <f t="shared" si="43"/>
        <v>35.394</v>
      </c>
      <c r="I1399" s="14">
        <v>243</v>
      </c>
    </row>
    <row r="1400" ht="24" customHeight="1" spans="1:9">
      <c r="A1400" s="14" t="str">
        <f>"15132020307"</f>
        <v>15132020307</v>
      </c>
      <c r="B1400" s="15" t="s">
        <v>45</v>
      </c>
      <c r="C1400" s="14" t="s">
        <v>11</v>
      </c>
      <c r="D1400" s="16">
        <v>58.86</v>
      </c>
      <c r="E1400" s="16">
        <f t="shared" si="42"/>
        <v>35.316</v>
      </c>
      <c r="F1400" s="14"/>
      <c r="G1400" s="14"/>
      <c r="H1400" s="16">
        <f t="shared" si="43"/>
        <v>35.316</v>
      </c>
      <c r="I1400" s="14">
        <v>244</v>
      </c>
    </row>
    <row r="1401" ht="24" customHeight="1" spans="1:9">
      <c r="A1401" s="14" t="str">
        <f>"15132020818"</f>
        <v>15132020818</v>
      </c>
      <c r="B1401" s="15" t="s">
        <v>45</v>
      </c>
      <c r="C1401" s="14" t="s">
        <v>11</v>
      </c>
      <c r="D1401" s="16">
        <v>58.84</v>
      </c>
      <c r="E1401" s="16">
        <f t="shared" si="42"/>
        <v>35.304</v>
      </c>
      <c r="F1401" s="14"/>
      <c r="G1401" s="14"/>
      <c r="H1401" s="16">
        <f t="shared" si="43"/>
        <v>35.304</v>
      </c>
      <c r="I1401" s="14">
        <v>245</v>
      </c>
    </row>
    <row r="1402" ht="24" customHeight="1" spans="1:9">
      <c r="A1402" s="14" t="str">
        <f>"15132020517"</f>
        <v>15132020517</v>
      </c>
      <c r="B1402" s="15" t="s">
        <v>45</v>
      </c>
      <c r="C1402" s="14" t="s">
        <v>11</v>
      </c>
      <c r="D1402" s="16">
        <v>58.74</v>
      </c>
      <c r="E1402" s="16">
        <f t="shared" si="42"/>
        <v>35.244</v>
      </c>
      <c r="F1402" s="14"/>
      <c r="G1402" s="14"/>
      <c r="H1402" s="16">
        <f t="shared" si="43"/>
        <v>35.244</v>
      </c>
      <c r="I1402" s="14">
        <v>246</v>
      </c>
    </row>
    <row r="1403" ht="24" customHeight="1" spans="1:9">
      <c r="A1403" s="14" t="str">
        <f>"15132020809"</f>
        <v>15132020809</v>
      </c>
      <c r="B1403" s="15" t="s">
        <v>45</v>
      </c>
      <c r="C1403" s="14" t="s">
        <v>11</v>
      </c>
      <c r="D1403" s="16">
        <v>58.6</v>
      </c>
      <c r="E1403" s="16">
        <f t="shared" si="42"/>
        <v>35.16</v>
      </c>
      <c r="F1403" s="14"/>
      <c r="G1403" s="14"/>
      <c r="H1403" s="16">
        <f t="shared" si="43"/>
        <v>35.16</v>
      </c>
      <c r="I1403" s="14">
        <v>247</v>
      </c>
    </row>
    <row r="1404" ht="24" customHeight="1" spans="1:9">
      <c r="A1404" s="14" t="str">
        <f>"15132020213"</f>
        <v>15132020213</v>
      </c>
      <c r="B1404" s="15" t="s">
        <v>45</v>
      </c>
      <c r="C1404" s="14" t="s">
        <v>11</v>
      </c>
      <c r="D1404" s="16">
        <v>58.59</v>
      </c>
      <c r="E1404" s="16">
        <f t="shared" si="42"/>
        <v>35.154</v>
      </c>
      <c r="F1404" s="14"/>
      <c r="G1404" s="14"/>
      <c r="H1404" s="16">
        <f t="shared" si="43"/>
        <v>35.154</v>
      </c>
      <c r="I1404" s="14">
        <v>248</v>
      </c>
    </row>
    <row r="1405" ht="24" customHeight="1" spans="1:9">
      <c r="A1405" s="14" t="str">
        <f>"15132020228"</f>
        <v>15132020228</v>
      </c>
      <c r="B1405" s="15" t="s">
        <v>45</v>
      </c>
      <c r="C1405" s="14" t="s">
        <v>11</v>
      </c>
      <c r="D1405" s="16">
        <v>58.59</v>
      </c>
      <c r="E1405" s="16">
        <f t="shared" si="42"/>
        <v>35.154</v>
      </c>
      <c r="F1405" s="14"/>
      <c r="G1405" s="14"/>
      <c r="H1405" s="16">
        <f t="shared" si="43"/>
        <v>35.154</v>
      </c>
      <c r="I1405" s="14">
        <v>249</v>
      </c>
    </row>
    <row r="1406" ht="24" customHeight="1" spans="1:9">
      <c r="A1406" s="14" t="str">
        <f>"15132020514"</f>
        <v>15132020514</v>
      </c>
      <c r="B1406" s="15" t="s">
        <v>45</v>
      </c>
      <c r="C1406" s="14" t="s">
        <v>11</v>
      </c>
      <c r="D1406" s="16">
        <v>58.49</v>
      </c>
      <c r="E1406" s="16">
        <f t="shared" si="42"/>
        <v>35.094</v>
      </c>
      <c r="F1406" s="14"/>
      <c r="G1406" s="14"/>
      <c r="H1406" s="16">
        <f t="shared" si="43"/>
        <v>35.094</v>
      </c>
      <c r="I1406" s="14">
        <v>250</v>
      </c>
    </row>
    <row r="1407" ht="24" customHeight="1" spans="1:9">
      <c r="A1407" s="14" t="str">
        <f>"15132020618"</f>
        <v>15132020618</v>
      </c>
      <c r="B1407" s="15" t="s">
        <v>45</v>
      </c>
      <c r="C1407" s="14" t="s">
        <v>11</v>
      </c>
      <c r="D1407" s="16">
        <v>58.49</v>
      </c>
      <c r="E1407" s="16">
        <f t="shared" si="42"/>
        <v>35.094</v>
      </c>
      <c r="F1407" s="14"/>
      <c r="G1407" s="14"/>
      <c r="H1407" s="16">
        <f t="shared" si="43"/>
        <v>35.094</v>
      </c>
      <c r="I1407" s="14">
        <v>251</v>
      </c>
    </row>
    <row r="1408" ht="24" customHeight="1" spans="1:9">
      <c r="A1408" s="14" t="str">
        <f>"15132020723"</f>
        <v>15132020723</v>
      </c>
      <c r="B1408" s="15" t="s">
        <v>45</v>
      </c>
      <c r="C1408" s="14" t="s">
        <v>11</v>
      </c>
      <c r="D1408" s="16">
        <v>58.34</v>
      </c>
      <c r="E1408" s="16">
        <f t="shared" si="42"/>
        <v>35.004</v>
      </c>
      <c r="F1408" s="14"/>
      <c r="G1408" s="14"/>
      <c r="H1408" s="16">
        <f t="shared" si="43"/>
        <v>35.004</v>
      </c>
      <c r="I1408" s="14">
        <v>252</v>
      </c>
    </row>
    <row r="1409" ht="24" customHeight="1" spans="1:9">
      <c r="A1409" s="14" t="str">
        <f>"15132020930"</f>
        <v>15132020930</v>
      </c>
      <c r="B1409" s="15" t="s">
        <v>45</v>
      </c>
      <c r="C1409" s="14" t="s">
        <v>11</v>
      </c>
      <c r="D1409" s="16">
        <v>58.34</v>
      </c>
      <c r="E1409" s="16">
        <f t="shared" si="42"/>
        <v>35.004</v>
      </c>
      <c r="F1409" s="14"/>
      <c r="G1409" s="14"/>
      <c r="H1409" s="16">
        <f t="shared" si="43"/>
        <v>35.004</v>
      </c>
      <c r="I1409" s="14">
        <v>253</v>
      </c>
    </row>
    <row r="1410" ht="24" customHeight="1" spans="1:9">
      <c r="A1410" s="14" t="str">
        <f>"15132020813"</f>
        <v>15132020813</v>
      </c>
      <c r="B1410" s="15" t="s">
        <v>45</v>
      </c>
      <c r="C1410" s="14" t="s">
        <v>11</v>
      </c>
      <c r="D1410" s="16">
        <v>58.23</v>
      </c>
      <c r="E1410" s="16">
        <f t="shared" si="42"/>
        <v>34.938</v>
      </c>
      <c r="F1410" s="14"/>
      <c r="G1410" s="14"/>
      <c r="H1410" s="16">
        <f t="shared" si="43"/>
        <v>34.938</v>
      </c>
      <c r="I1410" s="14">
        <v>254</v>
      </c>
    </row>
    <row r="1411" ht="24" customHeight="1" spans="1:9">
      <c r="A1411" s="14" t="str">
        <f>"15132020115"</f>
        <v>15132020115</v>
      </c>
      <c r="B1411" s="15" t="s">
        <v>45</v>
      </c>
      <c r="C1411" s="14" t="s">
        <v>11</v>
      </c>
      <c r="D1411" s="16">
        <v>58.22</v>
      </c>
      <c r="E1411" s="16">
        <f t="shared" ref="E1411:E1474" si="44">D1411*0.6</f>
        <v>34.932</v>
      </c>
      <c r="F1411" s="14"/>
      <c r="G1411" s="14"/>
      <c r="H1411" s="16">
        <f t="shared" ref="H1411:H1474" si="45">SUM(E1411:G1411)</f>
        <v>34.932</v>
      </c>
      <c r="I1411" s="14">
        <v>255</v>
      </c>
    </row>
    <row r="1412" ht="24" customHeight="1" spans="1:9">
      <c r="A1412" s="14" t="str">
        <f>"15132021008"</f>
        <v>15132021008</v>
      </c>
      <c r="B1412" s="15" t="s">
        <v>45</v>
      </c>
      <c r="C1412" s="14" t="s">
        <v>11</v>
      </c>
      <c r="D1412" s="16">
        <v>57.85</v>
      </c>
      <c r="E1412" s="16">
        <f t="shared" si="44"/>
        <v>34.71</v>
      </c>
      <c r="F1412" s="14"/>
      <c r="G1412" s="14"/>
      <c r="H1412" s="16">
        <f t="shared" si="45"/>
        <v>34.71</v>
      </c>
      <c r="I1412" s="14">
        <v>256</v>
      </c>
    </row>
    <row r="1413" ht="24" customHeight="1" spans="1:9">
      <c r="A1413" s="14" t="str">
        <f>"15132020912"</f>
        <v>15132020912</v>
      </c>
      <c r="B1413" s="15" t="s">
        <v>45</v>
      </c>
      <c r="C1413" s="14" t="s">
        <v>11</v>
      </c>
      <c r="D1413" s="16">
        <v>57.84</v>
      </c>
      <c r="E1413" s="16">
        <f t="shared" si="44"/>
        <v>34.704</v>
      </c>
      <c r="F1413" s="14"/>
      <c r="G1413" s="14"/>
      <c r="H1413" s="16">
        <f t="shared" si="45"/>
        <v>34.704</v>
      </c>
      <c r="I1413" s="14">
        <v>257</v>
      </c>
    </row>
    <row r="1414" ht="24" customHeight="1" spans="1:9">
      <c r="A1414" s="14" t="str">
        <f>"15132021006"</f>
        <v>15132021006</v>
      </c>
      <c r="B1414" s="15" t="s">
        <v>45</v>
      </c>
      <c r="C1414" s="14" t="s">
        <v>11</v>
      </c>
      <c r="D1414" s="16">
        <v>57.84</v>
      </c>
      <c r="E1414" s="16">
        <f t="shared" si="44"/>
        <v>34.704</v>
      </c>
      <c r="F1414" s="14"/>
      <c r="G1414" s="14"/>
      <c r="H1414" s="16">
        <f t="shared" si="45"/>
        <v>34.704</v>
      </c>
      <c r="I1414" s="14">
        <v>258</v>
      </c>
    </row>
    <row r="1415" ht="24" customHeight="1" spans="1:9">
      <c r="A1415" s="14" t="str">
        <f>"15132020302"</f>
        <v>15132020302</v>
      </c>
      <c r="B1415" s="15" t="s">
        <v>45</v>
      </c>
      <c r="C1415" s="14" t="s">
        <v>11</v>
      </c>
      <c r="D1415" s="16">
        <v>57.58</v>
      </c>
      <c r="E1415" s="16">
        <f t="shared" si="44"/>
        <v>34.548</v>
      </c>
      <c r="F1415" s="14"/>
      <c r="G1415" s="14"/>
      <c r="H1415" s="16">
        <f t="shared" si="45"/>
        <v>34.548</v>
      </c>
      <c r="I1415" s="14">
        <v>259</v>
      </c>
    </row>
    <row r="1416" ht="24" customHeight="1" spans="1:9">
      <c r="A1416" s="14" t="str">
        <f>"15132020516"</f>
        <v>15132020516</v>
      </c>
      <c r="B1416" s="15" t="s">
        <v>45</v>
      </c>
      <c r="C1416" s="14" t="s">
        <v>11</v>
      </c>
      <c r="D1416" s="16">
        <v>57.47</v>
      </c>
      <c r="E1416" s="16">
        <f t="shared" si="44"/>
        <v>34.482</v>
      </c>
      <c r="F1416" s="14"/>
      <c r="G1416" s="14"/>
      <c r="H1416" s="16">
        <f t="shared" si="45"/>
        <v>34.482</v>
      </c>
      <c r="I1416" s="14">
        <v>260</v>
      </c>
    </row>
    <row r="1417" ht="24" customHeight="1" spans="1:9">
      <c r="A1417" s="14" t="str">
        <f>"15132020910"</f>
        <v>15132020910</v>
      </c>
      <c r="B1417" s="15" t="s">
        <v>45</v>
      </c>
      <c r="C1417" s="14" t="s">
        <v>11</v>
      </c>
      <c r="D1417" s="16">
        <v>57.32</v>
      </c>
      <c r="E1417" s="16">
        <f t="shared" si="44"/>
        <v>34.392</v>
      </c>
      <c r="F1417" s="14"/>
      <c r="G1417" s="14"/>
      <c r="H1417" s="16">
        <f t="shared" si="45"/>
        <v>34.392</v>
      </c>
      <c r="I1417" s="14">
        <v>261</v>
      </c>
    </row>
    <row r="1418" ht="24" customHeight="1" spans="1:9">
      <c r="A1418" s="14" t="str">
        <f>"15132020106"</f>
        <v>15132020106</v>
      </c>
      <c r="B1418" s="15" t="s">
        <v>45</v>
      </c>
      <c r="C1418" s="14" t="s">
        <v>11</v>
      </c>
      <c r="D1418" s="16">
        <v>56.95</v>
      </c>
      <c r="E1418" s="16">
        <f t="shared" si="44"/>
        <v>34.17</v>
      </c>
      <c r="F1418" s="14"/>
      <c r="G1418" s="14"/>
      <c r="H1418" s="16">
        <f t="shared" si="45"/>
        <v>34.17</v>
      </c>
      <c r="I1418" s="14">
        <v>262</v>
      </c>
    </row>
    <row r="1419" ht="24" customHeight="1" spans="1:9">
      <c r="A1419" s="14" t="str">
        <f>"15132021022"</f>
        <v>15132021022</v>
      </c>
      <c r="B1419" s="15" t="s">
        <v>45</v>
      </c>
      <c r="C1419" s="14" t="s">
        <v>11</v>
      </c>
      <c r="D1419" s="16">
        <v>56.56</v>
      </c>
      <c r="E1419" s="16">
        <f t="shared" si="44"/>
        <v>33.936</v>
      </c>
      <c r="F1419" s="14"/>
      <c r="G1419" s="14"/>
      <c r="H1419" s="16">
        <f t="shared" si="45"/>
        <v>33.936</v>
      </c>
      <c r="I1419" s="14">
        <v>263</v>
      </c>
    </row>
    <row r="1420" ht="24" customHeight="1" spans="1:9">
      <c r="A1420" s="14" t="str">
        <f>"15132020502"</f>
        <v>15132020502</v>
      </c>
      <c r="B1420" s="15" t="s">
        <v>45</v>
      </c>
      <c r="C1420" s="14" t="s">
        <v>11</v>
      </c>
      <c r="D1420" s="16">
        <v>56.43</v>
      </c>
      <c r="E1420" s="16">
        <f t="shared" si="44"/>
        <v>33.858</v>
      </c>
      <c r="F1420" s="14"/>
      <c r="G1420" s="14"/>
      <c r="H1420" s="16">
        <f t="shared" si="45"/>
        <v>33.858</v>
      </c>
      <c r="I1420" s="14">
        <v>264</v>
      </c>
    </row>
    <row r="1421" ht="24" customHeight="1" spans="1:9">
      <c r="A1421" s="14" t="str">
        <f>"15132020130"</f>
        <v>15132020130</v>
      </c>
      <c r="B1421" s="15" t="s">
        <v>45</v>
      </c>
      <c r="C1421" s="14" t="s">
        <v>12</v>
      </c>
      <c r="D1421" s="16">
        <v>52.06</v>
      </c>
      <c r="E1421" s="16">
        <f t="shared" si="44"/>
        <v>31.236</v>
      </c>
      <c r="F1421" s="14">
        <v>2.5</v>
      </c>
      <c r="G1421" s="14"/>
      <c r="H1421" s="16">
        <f t="shared" si="45"/>
        <v>33.736</v>
      </c>
      <c r="I1421" s="14">
        <v>265</v>
      </c>
    </row>
    <row r="1422" ht="24" customHeight="1" spans="1:9">
      <c r="A1422" s="14" t="str">
        <f>"15132020902"</f>
        <v>15132020902</v>
      </c>
      <c r="B1422" s="15" t="s">
        <v>45</v>
      </c>
      <c r="C1422" s="14" t="s">
        <v>11</v>
      </c>
      <c r="D1422" s="16">
        <v>56.04</v>
      </c>
      <c r="E1422" s="16">
        <f t="shared" si="44"/>
        <v>33.624</v>
      </c>
      <c r="F1422" s="14"/>
      <c r="G1422" s="14"/>
      <c r="H1422" s="16">
        <f t="shared" si="45"/>
        <v>33.624</v>
      </c>
      <c r="I1422" s="14">
        <v>266</v>
      </c>
    </row>
    <row r="1423" ht="24" customHeight="1" spans="1:9">
      <c r="A1423" s="14" t="str">
        <f>"15132020714"</f>
        <v>15132020714</v>
      </c>
      <c r="B1423" s="15" t="s">
        <v>45</v>
      </c>
      <c r="C1423" s="14" t="s">
        <v>11</v>
      </c>
      <c r="D1423" s="16">
        <v>55.52</v>
      </c>
      <c r="E1423" s="16">
        <f t="shared" si="44"/>
        <v>33.312</v>
      </c>
      <c r="F1423" s="14"/>
      <c r="G1423" s="14"/>
      <c r="H1423" s="16">
        <f t="shared" si="45"/>
        <v>33.312</v>
      </c>
      <c r="I1423" s="14">
        <v>267</v>
      </c>
    </row>
    <row r="1424" ht="24" customHeight="1" spans="1:9">
      <c r="A1424" s="14" t="str">
        <f>"15132020506"</f>
        <v>15132020506</v>
      </c>
      <c r="B1424" s="15" t="s">
        <v>45</v>
      </c>
      <c r="C1424" s="14" t="s">
        <v>11</v>
      </c>
      <c r="D1424" s="16">
        <v>55.4</v>
      </c>
      <c r="E1424" s="16">
        <f t="shared" si="44"/>
        <v>33.24</v>
      </c>
      <c r="F1424" s="14"/>
      <c r="G1424" s="14"/>
      <c r="H1424" s="16">
        <f t="shared" si="45"/>
        <v>33.24</v>
      </c>
      <c r="I1424" s="14">
        <v>268</v>
      </c>
    </row>
    <row r="1425" ht="24" customHeight="1" spans="1:9">
      <c r="A1425" s="14" t="str">
        <f>"15132020708"</f>
        <v>15132020708</v>
      </c>
      <c r="B1425" s="15" t="s">
        <v>45</v>
      </c>
      <c r="C1425" s="14" t="s">
        <v>11</v>
      </c>
      <c r="D1425" s="16">
        <v>55.01</v>
      </c>
      <c r="E1425" s="16">
        <f t="shared" si="44"/>
        <v>33.006</v>
      </c>
      <c r="F1425" s="14"/>
      <c r="G1425" s="14"/>
      <c r="H1425" s="16">
        <f t="shared" si="45"/>
        <v>33.006</v>
      </c>
      <c r="I1425" s="14">
        <v>269</v>
      </c>
    </row>
    <row r="1426" ht="24" customHeight="1" spans="1:9">
      <c r="A1426" s="14" t="str">
        <f>"15132020722"</f>
        <v>15132020722</v>
      </c>
      <c r="B1426" s="15" t="s">
        <v>45</v>
      </c>
      <c r="C1426" s="14" t="s">
        <v>11</v>
      </c>
      <c r="D1426" s="16">
        <v>54.52</v>
      </c>
      <c r="E1426" s="16">
        <f t="shared" si="44"/>
        <v>32.712</v>
      </c>
      <c r="F1426" s="14"/>
      <c r="G1426" s="14"/>
      <c r="H1426" s="16">
        <f t="shared" si="45"/>
        <v>32.712</v>
      </c>
      <c r="I1426" s="14">
        <v>270</v>
      </c>
    </row>
    <row r="1427" ht="24" customHeight="1" spans="1:9">
      <c r="A1427" s="14" t="str">
        <f>"15132020719"</f>
        <v>15132020719</v>
      </c>
      <c r="B1427" s="15" t="s">
        <v>45</v>
      </c>
      <c r="C1427" s="14" t="s">
        <v>11</v>
      </c>
      <c r="D1427" s="16">
        <v>54.49</v>
      </c>
      <c r="E1427" s="16">
        <f t="shared" si="44"/>
        <v>32.694</v>
      </c>
      <c r="F1427" s="14"/>
      <c r="G1427" s="14"/>
      <c r="H1427" s="16">
        <f t="shared" si="45"/>
        <v>32.694</v>
      </c>
      <c r="I1427" s="14">
        <v>271</v>
      </c>
    </row>
    <row r="1428" ht="24" customHeight="1" spans="1:9">
      <c r="A1428" s="14" t="str">
        <f>"15132020730"</f>
        <v>15132020730</v>
      </c>
      <c r="B1428" s="15" t="s">
        <v>45</v>
      </c>
      <c r="C1428" s="14" t="s">
        <v>11</v>
      </c>
      <c r="D1428" s="16">
        <v>54.48</v>
      </c>
      <c r="E1428" s="16">
        <f t="shared" si="44"/>
        <v>32.688</v>
      </c>
      <c r="F1428" s="14"/>
      <c r="G1428" s="14"/>
      <c r="H1428" s="16">
        <f t="shared" si="45"/>
        <v>32.688</v>
      </c>
      <c r="I1428" s="14">
        <v>272</v>
      </c>
    </row>
    <row r="1429" ht="24" customHeight="1" spans="1:9">
      <c r="A1429" s="14" t="str">
        <f>"15132020425"</f>
        <v>15132020425</v>
      </c>
      <c r="B1429" s="15" t="s">
        <v>45</v>
      </c>
      <c r="C1429" s="14" t="s">
        <v>11</v>
      </c>
      <c r="D1429" s="16">
        <v>54.23</v>
      </c>
      <c r="E1429" s="16">
        <f t="shared" si="44"/>
        <v>32.538</v>
      </c>
      <c r="F1429" s="14"/>
      <c r="G1429" s="14"/>
      <c r="H1429" s="16">
        <f t="shared" si="45"/>
        <v>32.538</v>
      </c>
      <c r="I1429" s="14">
        <v>273</v>
      </c>
    </row>
    <row r="1430" ht="24" customHeight="1" spans="1:9">
      <c r="A1430" s="14" t="str">
        <f>"15132020202"</f>
        <v>15132020202</v>
      </c>
      <c r="B1430" s="15" t="s">
        <v>45</v>
      </c>
      <c r="C1430" s="14" t="s">
        <v>11</v>
      </c>
      <c r="D1430" s="16">
        <v>53.74</v>
      </c>
      <c r="E1430" s="16">
        <f t="shared" si="44"/>
        <v>32.244</v>
      </c>
      <c r="F1430" s="14"/>
      <c r="G1430" s="14"/>
      <c r="H1430" s="16">
        <f t="shared" si="45"/>
        <v>32.244</v>
      </c>
      <c r="I1430" s="14">
        <v>274</v>
      </c>
    </row>
    <row r="1431" ht="24" customHeight="1" spans="1:9">
      <c r="A1431" s="14" t="str">
        <f>"15132021005"</f>
        <v>15132021005</v>
      </c>
      <c r="B1431" s="15" t="s">
        <v>45</v>
      </c>
      <c r="C1431" s="14" t="s">
        <v>11</v>
      </c>
      <c r="D1431" s="16">
        <v>53.74</v>
      </c>
      <c r="E1431" s="16">
        <f t="shared" si="44"/>
        <v>32.244</v>
      </c>
      <c r="F1431" s="14"/>
      <c r="G1431" s="14"/>
      <c r="H1431" s="16">
        <f t="shared" si="45"/>
        <v>32.244</v>
      </c>
      <c r="I1431" s="14">
        <v>275</v>
      </c>
    </row>
    <row r="1432" ht="24" customHeight="1" spans="1:9">
      <c r="A1432" s="14" t="str">
        <f>"15132020619"</f>
        <v>15132020619</v>
      </c>
      <c r="B1432" s="15" t="s">
        <v>45</v>
      </c>
      <c r="C1432" s="14" t="s">
        <v>11</v>
      </c>
      <c r="D1432" s="16">
        <v>53.46</v>
      </c>
      <c r="E1432" s="16">
        <f t="shared" si="44"/>
        <v>32.076</v>
      </c>
      <c r="F1432" s="14"/>
      <c r="G1432" s="14"/>
      <c r="H1432" s="16">
        <f t="shared" si="45"/>
        <v>32.076</v>
      </c>
      <c r="I1432" s="14">
        <v>276</v>
      </c>
    </row>
    <row r="1433" ht="24" customHeight="1" spans="1:9">
      <c r="A1433" s="14" t="str">
        <f>"15132020822"</f>
        <v>15132020822</v>
      </c>
      <c r="B1433" s="15" t="s">
        <v>45</v>
      </c>
      <c r="C1433" s="14" t="s">
        <v>11</v>
      </c>
      <c r="D1433" s="16">
        <v>52.97</v>
      </c>
      <c r="E1433" s="16">
        <f t="shared" si="44"/>
        <v>31.782</v>
      </c>
      <c r="F1433" s="14"/>
      <c r="G1433" s="14"/>
      <c r="H1433" s="16">
        <f t="shared" si="45"/>
        <v>31.782</v>
      </c>
      <c r="I1433" s="14">
        <v>277</v>
      </c>
    </row>
    <row r="1434" ht="24" customHeight="1" spans="1:9">
      <c r="A1434" s="14" t="str">
        <f>"15132020319"</f>
        <v>15132020319</v>
      </c>
      <c r="B1434" s="15" t="s">
        <v>45</v>
      </c>
      <c r="C1434" s="14" t="s">
        <v>11</v>
      </c>
      <c r="D1434" s="16">
        <v>52.69</v>
      </c>
      <c r="E1434" s="16">
        <f t="shared" si="44"/>
        <v>31.614</v>
      </c>
      <c r="F1434" s="14"/>
      <c r="G1434" s="14"/>
      <c r="H1434" s="16">
        <f t="shared" si="45"/>
        <v>31.614</v>
      </c>
      <c r="I1434" s="14">
        <v>278</v>
      </c>
    </row>
    <row r="1435" ht="24" customHeight="1" spans="1:9">
      <c r="A1435" s="14" t="str">
        <f>"15132020820"</f>
        <v>15132020820</v>
      </c>
      <c r="B1435" s="15" t="s">
        <v>45</v>
      </c>
      <c r="C1435" s="14" t="s">
        <v>11</v>
      </c>
      <c r="D1435" s="16">
        <v>52.58</v>
      </c>
      <c r="E1435" s="16">
        <f t="shared" si="44"/>
        <v>31.548</v>
      </c>
      <c r="F1435" s="14"/>
      <c r="G1435" s="14"/>
      <c r="H1435" s="16">
        <f t="shared" si="45"/>
        <v>31.548</v>
      </c>
      <c r="I1435" s="14">
        <v>279</v>
      </c>
    </row>
    <row r="1436" ht="24" customHeight="1" spans="1:9">
      <c r="A1436" s="14" t="str">
        <f>"15132020410"</f>
        <v>15132020410</v>
      </c>
      <c r="B1436" s="15" t="s">
        <v>45</v>
      </c>
      <c r="C1436" s="14" t="s">
        <v>11</v>
      </c>
      <c r="D1436" s="16">
        <v>52.57</v>
      </c>
      <c r="E1436" s="16">
        <f t="shared" si="44"/>
        <v>31.542</v>
      </c>
      <c r="F1436" s="14"/>
      <c r="G1436" s="14"/>
      <c r="H1436" s="16">
        <f t="shared" si="45"/>
        <v>31.542</v>
      </c>
      <c r="I1436" s="14">
        <v>280</v>
      </c>
    </row>
    <row r="1437" ht="24" customHeight="1" spans="1:9">
      <c r="A1437" s="14" t="str">
        <f>"15132021021"</f>
        <v>15132021021</v>
      </c>
      <c r="B1437" s="15" t="s">
        <v>45</v>
      </c>
      <c r="C1437" s="14" t="s">
        <v>11</v>
      </c>
      <c r="D1437" s="16">
        <v>52.56</v>
      </c>
      <c r="E1437" s="16">
        <f t="shared" si="44"/>
        <v>31.536</v>
      </c>
      <c r="F1437" s="14"/>
      <c r="G1437" s="14"/>
      <c r="H1437" s="16">
        <f t="shared" si="45"/>
        <v>31.536</v>
      </c>
      <c r="I1437" s="14">
        <v>281</v>
      </c>
    </row>
    <row r="1438" ht="24" customHeight="1" spans="1:9">
      <c r="A1438" s="14" t="str">
        <f>"15132020913"</f>
        <v>15132020913</v>
      </c>
      <c r="B1438" s="15" t="s">
        <v>45</v>
      </c>
      <c r="C1438" s="14" t="s">
        <v>11</v>
      </c>
      <c r="D1438" s="16">
        <v>51.94</v>
      </c>
      <c r="E1438" s="16">
        <f t="shared" si="44"/>
        <v>31.164</v>
      </c>
      <c r="F1438" s="14"/>
      <c r="G1438" s="14"/>
      <c r="H1438" s="16">
        <f t="shared" si="45"/>
        <v>31.164</v>
      </c>
      <c r="I1438" s="14">
        <v>282</v>
      </c>
    </row>
    <row r="1439" ht="24" customHeight="1" spans="1:9">
      <c r="A1439" s="14" t="str">
        <f>"15132020916"</f>
        <v>15132020916</v>
      </c>
      <c r="B1439" s="15" t="s">
        <v>45</v>
      </c>
      <c r="C1439" s="14" t="s">
        <v>11</v>
      </c>
      <c r="D1439" s="16">
        <v>50.16</v>
      </c>
      <c r="E1439" s="16">
        <f t="shared" si="44"/>
        <v>30.096</v>
      </c>
      <c r="F1439" s="14"/>
      <c r="G1439" s="14"/>
      <c r="H1439" s="16">
        <f t="shared" si="45"/>
        <v>30.096</v>
      </c>
      <c r="I1439" s="14">
        <v>283</v>
      </c>
    </row>
    <row r="1440" ht="24" customHeight="1" spans="1:9">
      <c r="A1440" s="14" t="str">
        <f>"15132020901"</f>
        <v>15132020901</v>
      </c>
      <c r="B1440" s="15" t="s">
        <v>45</v>
      </c>
      <c r="C1440" s="14" t="s">
        <v>11</v>
      </c>
      <c r="D1440" s="16">
        <v>49.62</v>
      </c>
      <c r="E1440" s="16">
        <f t="shared" si="44"/>
        <v>29.772</v>
      </c>
      <c r="F1440" s="14"/>
      <c r="G1440" s="14"/>
      <c r="H1440" s="16">
        <f t="shared" si="45"/>
        <v>29.772</v>
      </c>
      <c r="I1440" s="14">
        <v>284</v>
      </c>
    </row>
    <row r="1441" ht="24" customHeight="1" spans="1:9">
      <c r="A1441" s="14" t="str">
        <f>"15132020803"</f>
        <v>15132020803</v>
      </c>
      <c r="B1441" s="15" t="s">
        <v>45</v>
      </c>
      <c r="C1441" s="14" t="s">
        <v>11</v>
      </c>
      <c r="D1441" s="16">
        <v>48.74</v>
      </c>
      <c r="E1441" s="16">
        <f t="shared" si="44"/>
        <v>29.244</v>
      </c>
      <c r="F1441" s="14"/>
      <c r="G1441" s="14"/>
      <c r="H1441" s="16">
        <f t="shared" si="45"/>
        <v>29.244</v>
      </c>
      <c r="I1441" s="14">
        <v>285</v>
      </c>
    </row>
    <row r="1442" ht="24" customHeight="1" spans="1:9">
      <c r="A1442" s="14" t="str">
        <f>"15132020405"</f>
        <v>15132020405</v>
      </c>
      <c r="B1442" s="15" t="s">
        <v>45</v>
      </c>
      <c r="C1442" s="14" t="s">
        <v>11</v>
      </c>
      <c r="D1442" s="16">
        <v>48.35</v>
      </c>
      <c r="E1442" s="16">
        <f t="shared" si="44"/>
        <v>29.01</v>
      </c>
      <c r="F1442" s="14"/>
      <c r="G1442" s="14"/>
      <c r="H1442" s="16">
        <f t="shared" si="45"/>
        <v>29.01</v>
      </c>
      <c r="I1442" s="14">
        <v>286</v>
      </c>
    </row>
    <row r="1443" ht="24" customHeight="1" spans="1:9">
      <c r="A1443" s="14" t="str">
        <f>"15132020815"</f>
        <v>15132020815</v>
      </c>
      <c r="B1443" s="15" t="s">
        <v>45</v>
      </c>
      <c r="C1443" s="14" t="s">
        <v>11</v>
      </c>
      <c r="D1443" s="16">
        <v>47.21</v>
      </c>
      <c r="E1443" s="16">
        <f t="shared" si="44"/>
        <v>28.326</v>
      </c>
      <c r="F1443" s="14"/>
      <c r="G1443" s="14"/>
      <c r="H1443" s="16">
        <f t="shared" si="45"/>
        <v>28.326</v>
      </c>
      <c r="I1443" s="14">
        <v>287</v>
      </c>
    </row>
    <row r="1444" ht="24" customHeight="1" spans="1:9">
      <c r="A1444" s="14" t="str">
        <f>"15132020605"</f>
        <v>15132020605</v>
      </c>
      <c r="B1444" s="15" t="s">
        <v>45</v>
      </c>
      <c r="C1444" s="14" t="s">
        <v>11</v>
      </c>
      <c r="D1444" s="16">
        <v>45.78</v>
      </c>
      <c r="E1444" s="16">
        <f t="shared" si="44"/>
        <v>27.468</v>
      </c>
      <c r="F1444" s="14"/>
      <c r="G1444" s="14"/>
      <c r="H1444" s="16">
        <f t="shared" si="45"/>
        <v>27.468</v>
      </c>
      <c r="I1444" s="14">
        <v>288</v>
      </c>
    </row>
    <row r="1445" ht="24" customHeight="1" spans="1:9">
      <c r="A1445" s="14" t="str">
        <f>"15132020318"</f>
        <v>15132020318</v>
      </c>
      <c r="B1445" s="15" t="s">
        <v>45</v>
      </c>
      <c r="C1445" s="14" t="s">
        <v>11</v>
      </c>
      <c r="D1445" s="16">
        <v>44.48</v>
      </c>
      <c r="E1445" s="16">
        <f t="shared" si="44"/>
        <v>26.688</v>
      </c>
      <c r="F1445" s="14"/>
      <c r="G1445" s="14"/>
      <c r="H1445" s="16">
        <f t="shared" si="45"/>
        <v>26.688</v>
      </c>
      <c r="I1445" s="14">
        <v>289</v>
      </c>
    </row>
    <row r="1446" ht="24" customHeight="1" spans="1:9">
      <c r="A1446" s="14" t="str">
        <f>"15132020413"</f>
        <v>15132020413</v>
      </c>
      <c r="B1446" s="15" t="s">
        <v>45</v>
      </c>
      <c r="C1446" s="14" t="s">
        <v>11</v>
      </c>
      <c r="D1446" s="16">
        <v>43.86</v>
      </c>
      <c r="E1446" s="16">
        <f t="shared" si="44"/>
        <v>26.316</v>
      </c>
      <c r="F1446" s="14"/>
      <c r="G1446" s="14"/>
      <c r="H1446" s="16">
        <f t="shared" si="45"/>
        <v>26.316</v>
      </c>
      <c r="I1446" s="14">
        <v>290</v>
      </c>
    </row>
    <row r="1447" ht="24" customHeight="1" spans="1:9">
      <c r="A1447" s="14" t="str">
        <f>"15132021010"</f>
        <v>15132021010</v>
      </c>
      <c r="B1447" s="15" t="s">
        <v>45</v>
      </c>
      <c r="C1447" s="14" t="s">
        <v>12</v>
      </c>
      <c r="D1447" s="16">
        <v>37.46</v>
      </c>
      <c r="E1447" s="16">
        <f t="shared" si="44"/>
        <v>22.476</v>
      </c>
      <c r="F1447" s="14">
        <v>2.5</v>
      </c>
      <c r="G1447" s="14"/>
      <c r="H1447" s="16">
        <f t="shared" si="45"/>
        <v>24.976</v>
      </c>
      <c r="I1447" s="14">
        <v>291</v>
      </c>
    </row>
    <row r="1448" ht="24" customHeight="1" spans="1:9">
      <c r="A1448" s="14" t="str">
        <f>"15132020401"</f>
        <v>15132020401</v>
      </c>
      <c r="B1448" s="15" t="s">
        <v>45</v>
      </c>
      <c r="C1448" s="14" t="s">
        <v>11</v>
      </c>
      <c r="D1448" s="16">
        <v>-1</v>
      </c>
      <c r="E1448" s="16">
        <f t="shared" si="44"/>
        <v>-0.6</v>
      </c>
      <c r="F1448" s="14"/>
      <c r="G1448" s="14"/>
      <c r="H1448" s="16">
        <f t="shared" si="45"/>
        <v>-0.6</v>
      </c>
      <c r="I1448" s="14">
        <v>292</v>
      </c>
    </row>
    <row r="1449" ht="24" customHeight="1" spans="1:9">
      <c r="A1449" s="14" t="str">
        <f>"15132020926"</f>
        <v>15132020926</v>
      </c>
      <c r="B1449" s="15" t="s">
        <v>45</v>
      </c>
      <c r="C1449" s="14" t="s">
        <v>11</v>
      </c>
      <c r="D1449" s="16">
        <v>-1</v>
      </c>
      <c r="E1449" s="16">
        <f t="shared" si="44"/>
        <v>-0.6</v>
      </c>
      <c r="F1449" s="14"/>
      <c r="G1449" s="14"/>
      <c r="H1449" s="16">
        <f t="shared" si="45"/>
        <v>-0.6</v>
      </c>
      <c r="I1449" s="14">
        <v>293</v>
      </c>
    </row>
    <row r="1450" ht="24" customHeight="1" spans="1:9">
      <c r="A1450" s="11" t="str">
        <f>"15133021108"</f>
        <v>15133021108</v>
      </c>
      <c r="B1450" s="12" t="s">
        <v>46</v>
      </c>
      <c r="C1450" s="11" t="s">
        <v>12</v>
      </c>
      <c r="D1450" s="13">
        <v>82.18</v>
      </c>
      <c r="E1450" s="13">
        <f t="shared" si="44"/>
        <v>49.308</v>
      </c>
      <c r="F1450" s="11">
        <v>2.5</v>
      </c>
      <c r="G1450" s="11"/>
      <c r="H1450" s="13">
        <f t="shared" si="45"/>
        <v>51.808</v>
      </c>
      <c r="I1450" s="11">
        <v>1</v>
      </c>
    </row>
    <row r="1451" ht="24" customHeight="1" spans="1:9">
      <c r="A1451" s="11" t="str">
        <f>"15133021107"</f>
        <v>15133021107</v>
      </c>
      <c r="B1451" s="12" t="s">
        <v>46</v>
      </c>
      <c r="C1451" s="11" t="s">
        <v>11</v>
      </c>
      <c r="D1451" s="13">
        <v>85.27</v>
      </c>
      <c r="E1451" s="13">
        <f t="shared" si="44"/>
        <v>51.162</v>
      </c>
      <c r="F1451" s="11"/>
      <c r="G1451" s="11"/>
      <c r="H1451" s="13">
        <f t="shared" si="45"/>
        <v>51.162</v>
      </c>
      <c r="I1451" s="11">
        <v>2</v>
      </c>
    </row>
    <row r="1452" ht="24" customHeight="1" spans="1:9">
      <c r="A1452" s="11" t="str">
        <f>"15133021027"</f>
        <v>15133021027</v>
      </c>
      <c r="B1452" s="12" t="s">
        <v>46</v>
      </c>
      <c r="C1452" s="11" t="s">
        <v>11</v>
      </c>
      <c r="D1452" s="13">
        <v>83.1</v>
      </c>
      <c r="E1452" s="13">
        <f t="shared" si="44"/>
        <v>49.86</v>
      </c>
      <c r="F1452" s="11"/>
      <c r="G1452" s="11"/>
      <c r="H1452" s="13">
        <f t="shared" si="45"/>
        <v>49.86</v>
      </c>
      <c r="I1452" s="11">
        <v>3</v>
      </c>
    </row>
    <row r="1453" ht="24" customHeight="1" spans="1:9">
      <c r="A1453" s="11" t="str">
        <f>"15133021113"</f>
        <v>15133021113</v>
      </c>
      <c r="B1453" s="12" t="s">
        <v>46</v>
      </c>
      <c r="C1453" s="11" t="s">
        <v>11</v>
      </c>
      <c r="D1453" s="13">
        <v>80.53</v>
      </c>
      <c r="E1453" s="13">
        <f t="shared" si="44"/>
        <v>48.318</v>
      </c>
      <c r="F1453" s="11"/>
      <c r="G1453" s="11">
        <v>1.5</v>
      </c>
      <c r="H1453" s="13">
        <f t="shared" si="45"/>
        <v>49.818</v>
      </c>
      <c r="I1453" s="11">
        <v>4</v>
      </c>
    </row>
    <row r="1454" ht="24" customHeight="1" spans="1:9">
      <c r="A1454" s="11" t="str">
        <f>"15133021122"</f>
        <v>15133021122</v>
      </c>
      <c r="B1454" s="12" t="s">
        <v>46</v>
      </c>
      <c r="C1454" s="11" t="s">
        <v>11</v>
      </c>
      <c r="D1454" s="13">
        <v>82.83</v>
      </c>
      <c r="E1454" s="13">
        <f t="shared" si="44"/>
        <v>49.698</v>
      </c>
      <c r="F1454" s="11"/>
      <c r="G1454" s="11"/>
      <c r="H1454" s="13">
        <f t="shared" si="45"/>
        <v>49.698</v>
      </c>
      <c r="I1454" s="11">
        <v>5</v>
      </c>
    </row>
    <row r="1455" ht="24" customHeight="1" spans="1:9">
      <c r="A1455" s="11" t="str">
        <f>"15133021026"</f>
        <v>15133021026</v>
      </c>
      <c r="B1455" s="12" t="s">
        <v>46</v>
      </c>
      <c r="C1455" s="11" t="s">
        <v>11</v>
      </c>
      <c r="D1455" s="13">
        <v>80.76</v>
      </c>
      <c r="E1455" s="13">
        <f t="shared" si="44"/>
        <v>48.456</v>
      </c>
      <c r="F1455" s="11"/>
      <c r="G1455" s="11"/>
      <c r="H1455" s="13">
        <f t="shared" si="45"/>
        <v>48.456</v>
      </c>
      <c r="I1455" s="11">
        <v>6</v>
      </c>
    </row>
    <row r="1456" ht="24" customHeight="1" spans="1:9">
      <c r="A1456" s="11" t="str">
        <f>"15133021127"</f>
        <v>15133021127</v>
      </c>
      <c r="B1456" s="12" t="s">
        <v>46</v>
      </c>
      <c r="C1456" s="11" t="s">
        <v>11</v>
      </c>
      <c r="D1456" s="13">
        <v>79.51</v>
      </c>
      <c r="E1456" s="13">
        <f t="shared" si="44"/>
        <v>47.706</v>
      </c>
      <c r="F1456" s="11"/>
      <c r="G1456" s="11"/>
      <c r="H1456" s="13">
        <f t="shared" si="45"/>
        <v>47.706</v>
      </c>
      <c r="I1456" s="11">
        <v>7</v>
      </c>
    </row>
    <row r="1457" ht="24" customHeight="1" spans="1:9">
      <c r="A1457" s="11" t="str">
        <f>"15133021119"</f>
        <v>15133021119</v>
      </c>
      <c r="B1457" s="12" t="s">
        <v>46</v>
      </c>
      <c r="C1457" s="11" t="s">
        <v>11</v>
      </c>
      <c r="D1457" s="13">
        <v>78.47</v>
      </c>
      <c r="E1457" s="13">
        <f t="shared" si="44"/>
        <v>47.082</v>
      </c>
      <c r="F1457" s="11"/>
      <c r="G1457" s="11"/>
      <c r="H1457" s="13">
        <f t="shared" si="45"/>
        <v>47.082</v>
      </c>
      <c r="I1457" s="11">
        <v>8</v>
      </c>
    </row>
    <row r="1458" ht="24" customHeight="1" spans="1:9">
      <c r="A1458" s="11" t="str">
        <f>"15133021103"</f>
        <v>15133021103</v>
      </c>
      <c r="B1458" s="12" t="s">
        <v>46</v>
      </c>
      <c r="C1458" s="11" t="s">
        <v>11</v>
      </c>
      <c r="D1458" s="13">
        <v>76.03</v>
      </c>
      <c r="E1458" s="13">
        <f t="shared" si="44"/>
        <v>45.618</v>
      </c>
      <c r="F1458" s="11"/>
      <c r="G1458" s="11"/>
      <c r="H1458" s="13">
        <f t="shared" si="45"/>
        <v>45.618</v>
      </c>
      <c r="I1458" s="11">
        <v>9</v>
      </c>
    </row>
    <row r="1459" ht="24" customHeight="1" spans="1:9">
      <c r="A1459" s="11" t="str">
        <f>"15133021111"</f>
        <v>15133021111</v>
      </c>
      <c r="B1459" s="12" t="s">
        <v>46</v>
      </c>
      <c r="C1459" s="11" t="s">
        <v>12</v>
      </c>
      <c r="D1459" s="13">
        <v>71.4</v>
      </c>
      <c r="E1459" s="13">
        <f t="shared" si="44"/>
        <v>42.84</v>
      </c>
      <c r="F1459" s="11">
        <v>2.5</v>
      </c>
      <c r="G1459" s="11"/>
      <c r="H1459" s="13">
        <f t="shared" si="45"/>
        <v>45.34</v>
      </c>
      <c r="I1459" s="11">
        <v>10</v>
      </c>
    </row>
    <row r="1460" ht="24" customHeight="1" spans="1:9">
      <c r="A1460" s="11" t="str">
        <f>"15133021130"</f>
        <v>15133021130</v>
      </c>
      <c r="B1460" s="12" t="s">
        <v>46</v>
      </c>
      <c r="C1460" s="11" t="s">
        <v>12</v>
      </c>
      <c r="D1460" s="13">
        <v>71.3</v>
      </c>
      <c r="E1460" s="13">
        <f t="shared" si="44"/>
        <v>42.78</v>
      </c>
      <c r="F1460" s="11">
        <v>2.5</v>
      </c>
      <c r="G1460" s="11"/>
      <c r="H1460" s="13">
        <f t="shared" si="45"/>
        <v>45.28</v>
      </c>
      <c r="I1460" s="11">
        <v>11</v>
      </c>
    </row>
    <row r="1461" ht="24" customHeight="1" spans="1:9">
      <c r="A1461" s="11" t="str">
        <f>"15133021112"</f>
        <v>15133021112</v>
      </c>
      <c r="B1461" s="12" t="s">
        <v>46</v>
      </c>
      <c r="C1461" s="11" t="s">
        <v>11</v>
      </c>
      <c r="D1461" s="13">
        <v>73.72</v>
      </c>
      <c r="E1461" s="13">
        <f t="shared" si="44"/>
        <v>44.232</v>
      </c>
      <c r="F1461" s="11"/>
      <c r="G1461" s="11"/>
      <c r="H1461" s="13">
        <f t="shared" si="45"/>
        <v>44.232</v>
      </c>
      <c r="I1461" s="11">
        <v>12</v>
      </c>
    </row>
    <row r="1462" ht="24" customHeight="1" spans="1:9">
      <c r="A1462" s="11" t="str">
        <f>"15133021105"</f>
        <v>15133021105</v>
      </c>
      <c r="B1462" s="12" t="s">
        <v>46</v>
      </c>
      <c r="C1462" s="11" t="s">
        <v>11</v>
      </c>
      <c r="D1462" s="13">
        <v>73.21</v>
      </c>
      <c r="E1462" s="13">
        <f t="shared" si="44"/>
        <v>43.926</v>
      </c>
      <c r="F1462" s="11"/>
      <c r="G1462" s="11"/>
      <c r="H1462" s="13">
        <f t="shared" si="45"/>
        <v>43.926</v>
      </c>
      <c r="I1462" s="11">
        <v>13</v>
      </c>
    </row>
    <row r="1463" ht="24" customHeight="1" spans="1:9">
      <c r="A1463" s="11" t="str">
        <f>"15133021028"</f>
        <v>15133021028</v>
      </c>
      <c r="B1463" s="12" t="s">
        <v>46</v>
      </c>
      <c r="C1463" s="11" t="s">
        <v>11</v>
      </c>
      <c r="D1463" s="13">
        <v>71.3</v>
      </c>
      <c r="E1463" s="13">
        <f t="shared" si="44"/>
        <v>42.78</v>
      </c>
      <c r="F1463" s="11"/>
      <c r="G1463" s="11"/>
      <c r="H1463" s="13">
        <f t="shared" si="45"/>
        <v>42.78</v>
      </c>
      <c r="I1463" s="11">
        <v>14</v>
      </c>
    </row>
    <row r="1464" ht="24" customHeight="1" spans="1:9">
      <c r="A1464" s="14" t="str">
        <f>"15133021118"</f>
        <v>15133021118</v>
      </c>
      <c r="B1464" s="15" t="s">
        <v>46</v>
      </c>
      <c r="C1464" s="14" t="s">
        <v>11</v>
      </c>
      <c r="D1464" s="16">
        <v>71.28</v>
      </c>
      <c r="E1464" s="16">
        <f t="shared" si="44"/>
        <v>42.768</v>
      </c>
      <c r="F1464" s="14"/>
      <c r="G1464" s="14"/>
      <c r="H1464" s="16">
        <f t="shared" si="45"/>
        <v>42.768</v>
      </c>
      <c r="I1464" s="14">
        <v>15</v>
      </c>
    </row>
    <row r="1465" ht="24" customHeight="1" spans="1:9">
      <c r="A1465" s="14" t="str">
        <f>"15133021124"</f>
        <v>15133021124</v>
      </c>
      <c r="B1465" s="15" t="s">
        <v>46</v>
      </c>
      <c r="C1465" s="14" t="s">
        <v>11</v>
      </c>
      <c r="D1465" s="16">
        <v>69.88</v>
      </c>
      <c r="E1465" s="16">
        <f t="shared" si="44"/>
        <v>41.928</v>
      </c>
      <c r="F1465" s="14"/>
      <c r="G1465" s="14"/>
      <c r="H1465" s="16">
        <f t="shared" si="45"/>
        <v>41.928</v>
      </c>
      <c r="I1465" s="14">
        <v>16</v>
      </c>
    </row>
    <row r="1466" ht="24" customHeight="1" spans="1:9">
      <c r="A1466" s="14" t="str">
        <f>"15133021101"</f>
        <v>15133021101</v>
      </c>
      <c r="B1466" s="15" t="s">
        <v>46</v>
      </c>
      <c r="C1466" s="14" t="s">
        <v>11</v>
      </c>
      <c r="D1466" s="16">
        <v>68.98</v>
      </c>
      <c r="E1466" s="16">
        <f t="shared" si="44"/>
        <v>41.388</v>
      </c>
      <c r="F1466" s="14"/>
      <c r="G1466" s="14"/>
      <c r="H1466" s="16">
        <f t="shared" si="45"/>
        <v>41.388</v>
      </c>
      <c r="I1466" s="14">
        <v>17</v>
      </c>
    </row>
    <row r="1467" ht="24" customHeight="1" spans="1:9">
      <c r="A1467" s="14" t="str">
        <f>"15133021030"</f>
        <v>15133021030</v>
      </c>
      <c r="B1467" s="15" t="s">
        <v>46</v>
      </c>
      <c r="C1467" s="14" t="s">
        <v>11</v>
      </c>
      <c r="D1467" s="16">
        <v>68.72</v>
      </c>
      <c r="E1467" s="16">
        <f t="shared" si="44"/>
        <v>41.232</v>
      </c>
      <c r="F1467" s="14"/>
      <c r="G1467" s="14"/>
      <c r="H1467" s="16">
        <f t="shared" si="45"/>
        <v>41.232</v>
      </c>
      <c r="I1467" s="14">
        <v>18</v>
      </c>
    </row>
    <row r="1468" ht="24" customHeight="1" spans="1:9">
      <c r="A1468" s="14" t="str">
        <f>"15133021025"</f>
        <v>15133021025</v>
      </c>
      <c r="B1468" s="15" t="s">
        <v>46</v>
      </c>
      <c r="C1468" s="14" t="s">
        <v>11</v>
      </c>
      <c r="D1468" s="16">
        <v>68.34</v>
      </c>
      <c r="E1468" s="16">
        <f t="shared" si="44"/>
        <v>41.004</v>
      </c>
      <c r="F1468" s="14"/>
      <c r="G1468" s="14"/>
      <c r="H1468" s="16">
        <f t="shared" si="45"/>
        <v>41.004</v>
      </c>
      <c r="I1468" s="14">
        <v>19</v>
      </c>
    </row>
    <row r="1469" ht="24" customHeight="1" spans="1:9">
      <c r="A1469" s="14" t="str">
        <f>"15133021202"</f>
        <v>15133021202</v>
      </c>
      <c r="B1469" s="15" t="s">
        <v>46</v>
      </c>
      <c r="C1469" s="14" t="s">
        <v>12</v>
      </c>
      <c r="D1469" s="16">
        <v>62.97</v>
      </c>
      <c r="E1469" s="16">
        <f t="shared" si="44"/>
        <v>37.782</v>
      </c>
      <c r="F1469" s="14">
        <v>2.5</v>
      </c>
      <c r="G1469" s="14"/>
      <c r="H1469" s="16">
        <f t="shared" si="45"/>
        <v>40.282</v>
      </c>
      <c r="I1469" s="14">
        <v>20</v>
      </c>
    </row>
    <row r="1470" ht="24" customHeight="1" spans="1:9">
      <c r="A1470" s="14" t="str">
        <f>"15133021203"</f>
        <v>15133021203</v>
      </c>
      <c r="B1470" s="15" t="s">
        <v>46</v>
      </c>
      <c r="C1470" s="14" t="s">
        <v>11</v>
      </c>
      <c r="D1470" s="16">
        <v>66.94</v>
      </c>
      <c r="E1470" s="16">
        <f t="shared" si="44"/>
        <v>40.164</v>
      </c>
      <c r="F1470" s="14"/>
      <c r="G1470" s="14"/>
      <c r="H1470" s="16">
        <f t="shared" si="45"/>
        <v>40.164</v>
      </c>
      <c r="I1470" s="14">
        <v>21</v>
      </c>
    </row>
    <row r="1471" ht="24" customHeight="1" spans="1:9">
      <c r="A1471" s="14" t="str">
        <f>"15133021116"</f>
        <v>15133021116</v>
      </c>
      <c r="B1471" s="15" t="s">
        <v>46</v>
      </c>
      <c r="C1471" s="14" t="s">
        <v>11</v>
      </c>
      <c r="D1471" s="16">
        <v>66.92</v>
      </c>
      <c r="E1471" s="16">
        <f t="shared" si="44"/>
        <v>40.152</v>
      </c>
      <c r="F1471" s="14"/>
      <c r="G1471" s="14"/>
      <c r="H1471" s="16">
        <f t="shared" si="45"/>
        <v>40.152</v>
      </c>
      <c r="I1471" s="14">
        <v>22</v>
      </c>
    </row>
    <row r="1472" ht="24" customHeight="1" spans="1:9">
      <c r="A1472" s="14" t="str">
        <f>"15133021129"</f>
        <v>15133021129</v>
      </c>
      <c r="B1472" s="15" t="s">
        <v>46</v>
      </c>
      <c r="C1472" s="14" t="s">
        <v>11</v>
      </c>
      <c r="D1472" s="16">
        <v>65.66</v>
      </c>
      <c r="E1472" s="16">
        <f t="shared" si="44"/>
        <v>39.396</v>
      </c>
      <c r="F1472" s="14"/>
      <c r="G1472" s="14"/>
      <c r="H1472" s="16">
        <f t="shared" si="45"/>
        <v>39.396</v>
      </c>
      <c r="I1472" s="14">
        <v>23</v>
      </c>
    </row>
    <row r="1473" ht="24" customHeight="1" spans="1:9">
      <c r="A1473" s="14" t="str">
        <f>"15133021104"</f>
        <v>15133021104</v>
      </c>
      <c r="B1473" s="15" t="s">
        <v>46</v>
      </c>
      <c r="C1473" s="14" t="s">
        <v>11</v>
      </c>
      <c r="D1473" s="16">
        <v>64.77</v>
      </c>
      <c r="E1473" s="16">
        <f t="shared" si="44"/>
        <v>38.862</v>
      </c>
      <c r="F1473" s="14"/>
      <c r="G1473" s="14"/>
      <c r="H1473" s="16">
        <f t="shared" si="45"/>
        <v>38.862</v>
      </c>
      <c r="I1473" s="14">
        <v>24</v>
      </c>
    </row>
    <row r="1474" ht="24" customHeight="1" spans="1:9">
      <c r="A1474" s="14" t="str">
        <f>"15133021121"</f>
        <v>15133021121</v>
      </c>
      <c r="B1474" s="15" t="s">
        <v>46</v>
      </c>
      <c r="C1474" s="14" t="s">
        <v>11</v>
      </c>
      <c r="D1474" s="16">
        <v>64.6</v>
      </c>
      <c r="E1474" s="16">
        <f t="shared" si="44"/>
        <v>38.76</v>
      </c>
      <c r="F1474" s="14"/>
      <c r="G1474" s="14"/>
      <c r="H1474" s="16">
        <f t="shared" si="45"/>
        <v>38.76</v>
      </c>
      <c r="I1474" s="14">
        <v>25</v>
      </c>
    </row>
    <row r="1475" ht="24" customHeight="1" spans="1:9">
      <c r="A1475" s="14" t="str">
        <f>"15133021125"</f>
        <v>15133021125</v>
      </c>
      <c r="B1475" s="15" t="s">
        <v>46</v>
      </c>
      <c r="C1475" s="14" t="s">
        <v>11</v>
      </c>
      <c r="D1475" s="16">
        <v>63.33</v>
      </c>
      <c r="E1475" s="16">
        <f t="shared" ref="E1475:E1505" si="46">D1475*0.6</f>
        <v>37.998</v>
      </c>
      <c r="F1475" s="14"/>
      <c r="G1475" s="14"/>
      <c r="H1475" s="16">
        <f t="shared" ref="H1475:H1505" si="47">SUM(E1475:G1475)</f>
        <v>37.998</v>
      </c>
      <c r="I1475" s="14">
        <v>26</v>
      </c>
    </row>
    <row r="1476" ht="24" customHeight="1" spans="1:9">
      <c r="A1476" s="14" t="str">
        <f>"15133021102"</f>
        <v>15133021102</v>
      </c>
      <c r="B1476" s="15" t="s">
        <v>46</v>
      </c>
      <c r="C1476" s="14" t="s">
        <v>11</v>
      </c>
      <c r="D1476" s="16">
        <v>62.72</v>
      </c>
      <c r="E1476" s="16">
        <f t="shared" si="46"/>
        <v>37.632</v>
      </c>
      <c r="F1476" s="14"/>
      <c r="G1476" s="14"/>
      <c r="H1476" s="16">
        <f t="shared" si="47"/>
        <v>37.632</v>
      </c>
      <c r="I1476" s="14">
        <v>27</v>
      </c>
    </row>
    <row r="1477" ht="24" customHeight="1" spans="1:9">
      <c r="A1477" s="14" t="str">
        <f>"15133021117"</f>
        <v>15133021117</v>
      </c>
      <c r="B1477" s="15" t="s">
        <v>46</v>
      </c>
      <c r="C1477" s="14" t="s">
        <v>11</v>
      </c>
      <c r="D1477" s="16">
        <v>62.43</v>
      </c>
      <c r="E1477" s="16">
        <f t="shared" si="46"/>
        <v>37.458</v>
      </c>
      <c r="F1477" s="14"/>
      <c r="G1477" s="14"/>
      <c r="H1477" s="16">
        <f t="shared" si="47"/>
        <v>37.458</v>
      </c>
      <c r="I1477" s="14">
        <v>28</v>
      </c>
    </row>
    <row r="1478" ht="24" customHeight="1" spans="1:9">
      <c r="A1478" s="14" t="str">
        <f>"15133021201"</f>
        <v>15133021201</v>
      </c>
      <c r="B1478" s="15" t="s">
        <v>46</v>
      </c>
      <c r="C1478" s="14" t="s">
        <v>11</v>
      </c>
      <c r="D1478" s="16">
        <v>61.81</v>
      </c>
      <c r="E1478" s="16">
        <f t="shared" si="46"/>
        <v>37.086</v>
      </c>
      <c r="F1478" s="14"/>
      <c r="G1478" s="14"/>
      <c r="H1478" s="16">
        <f t="shared" si="47"/>
        <v>37.086</v>
      </c>
      <c r="I1478" s="14">
        <v>29</v>
      </c>
    </row>
    <row r="1479" ht="24" customHeight="1" spans="1:9">
      <c r="A1479" s="14" t="str">
        <f>"15133021123"</f>
        <v>15133021123</v>
      </c>
      <c r="B1479" s="15" t="s">
        <v>46</v>
      </c>
      <c r="C1479" s="14" t="s">
        <v>11</v>
      </c>
      <c r="D1479" s="16">
        <v>61.05</v>
      </c>
      <c r="E1479" s="16">
        <f t="shared" si="46"/>
        <v>36.63</v>
      </c>
      <c r="F1479" s="14"/>
      <c r="G1479" s="14"/>
      <c r="H1479" s="16">
        <f t="shared" si="47"/>
        <v>36.63</v>
      </c>
      <c r="I1479" s="14">
        <v>30</v>
      </c>
    </row>
    <row r="1480" ht="24" customHeight="1" spans="1:9">
      <c r="A1480" s="14" t="str">
        <f>"15133021204"</f>
        <v>15133021204</v>
      </c>
      <c r="B1480" s="15" t="s">
        <v>46</v>
      </c>
      <c r="C1480" s="14" t="s">
        <v>11</v>
      </c>
      <c r="D1480" s="16">
        <v>61.04</v>
      </c>
      <c r="E1480" s="16">
        <f t="shared" si="46"/>
        <v>36.624</v>
      </c>
      <c r="F1480" s="14"/>
      <c r="G1480" s="14"/>
      <c r="H1480" s="16">
        <f t="shared" si="47"/>
        <v>36.624</v>
      </c>
      <c r="I1480" s="14">
        <v>31</v>
      </c>
    </row>
    <row r="1481" ht="24" customHeight="1" spans="1:9">
      <c r="A1481" s="14" t="str">
        <f>"15133021024"</f>
        <v>15133021024</v>
      </c>
      <c r="B1481" s="15" t="s">
        <v>46</v>
      </c>
      <c r="C1481" s="14" t="s">
        <v>11</v>
      </c>
      <c r="D1481" s="16">
        <v>60.51</v>
      </c>
      <c r="E1481" s="16">
        <f t="shared" si="46"/>
        <v>36.306</v>
      </c>
      <c r="F1481" s="14"/>
      <c r="G1481" s="14"/>
      <c r="H1481" s="16">
        <f t="shared" si="47"/>
        <v>36.306</v>
      </c>
      <c r="I1481" s="14">
        <v>32</v>
      </c>
    </row>
    <row r="1482" ht="24" customHeight="1" spans="1:9">
      <c r="A1482" s="14" t="str">
        <f>"15133021115"</f>
        <v>15133021115</v>
      </c>
      <c r="B1482" s="15" t="s">
        <v>46</v>
      </c>
      <c r="C1482" s="14" t="s">
        <v>12</v>
      </c>
      <c r="D1482" s="16">
        <v>55.79</v>
      </c>
      <c r="E1482" s="16">
        <f t="shared" si="46"/>
        <v>33.474</v>
      </c>
      <c r="F1482" s="14">
        <v>2.5</v>
      </c>
      <c r="G1482" s="14"/>
      <c r="H1482" s="16">
        <f t="shared" si="47"/>
        <v>35.974</v>
      </c>
      <c r="I1482" s="14">
        <v>33</v>
      </c>
    </row>
    <row r="1483" ht="24" customHeight="1" spans="1:9">
      <c r="A1483" s="14" t="str">
        <f>"15133021120"</f>
        <v>15133021120</v>
      </c>
      <c r="B1483" s="15" t="s">
        <v>46</v>
      </c>
      <c r="C1483" s="14" t="s">
        <v>12</v>
      </c>
      <c r="D1483" s="16">
        <v>52.95</v>
      </c>
      <c r="E1483" s="16">
        <f t="shared" si="46"/>
        <v>31.77</v>
      </c>
      <c r="F1483" s="14">
        <v>2.5</v>
      </c>
      <c r="G1483" s="14">
        <v>1.5</v>
      </c>
      <c r="H1483" s="16">
        <f t="shared" si="47"/>
        <v>35.77</v>
      </c>
      <c r="I1483" s="14">
        <v>34</v>
      </c>
    </row>
    <row r="1484" ht="24" customHeight="1" spans="1:9">
      <c r="A1484" s="14" t="str">
        <f>"15133021126"</f>
        <v>15133021126</v>
      </c>
      <c r="B1484" s="15" t="s">
        <v>46</v>
      </c>
      <c r="C1484" s="14" t="s">
        <v>11</v>
      </c>
      <c r="D1484" s="16">
        <v>59.22</v>
      </c>
      <c r="E1484" s="16">
        <f t="shared" si="46"/>
        <v>35.532</v>
      </c>
      <c r="F1484" s="14"/>
      <c r="G1484" s="14"/>
      <c r="H1484" s="16">
        <f t="shared" si="47"/>
        <v>35.532</v>
      </c>
      <c r="I1484" s="14">
        <v>35</v>
      </c>
    </row>
    <row r="1485" ht="24" customHeight="1" spans="1:9">
      <c r="A1485" s="14" t="str">
        <f>"15133021205"</f>
        <v>15133021205</v>
      </c>
      <c r="B1485" s="15" t="s">
        <v>46</v>
      </c>
      <c r="C1485" s="14" t="s">
        <v>12</v>
      </c>
      <c r="D1485" s="16">
        <v>54.37</v>
      </c>
      <c r="E1485" s="16">
        <f t="shared" si="46"/>
        <v>32.622</v>
      </c>
      <c r="F1485" s="14">
        <v>2.5</v>
      </c>
      <c r="G1485" s="14"/>
      <c r="H1485" s="16">
        <f t="shared" si="47"/>
        <v>35.122</v>
      </c>
      <c r="I1485" s="14">
        <v>36</v>
      </c>
    </row>
    <row r="1486" ht="24" customHeight="1" spans="1:9">
      <c r="A1486" s="14" t="str">
        <f>"15133021106"</f>
        <v>15133021106</v>
      </c>
      <c r="B1486" s="15" t="s">
        <v>46</v>
      </c>
      <c r="C1486" s="14" t="s">
        <v>11</v>
      </c>
      <c r="D1486" s="16">
        <v>57.7</v>
      </c>
      <c r="E1486" s="16">
        <f t="shared" si="46"/>
        <v>34.62</v>
      </c>
      <c r="F1486" s="14"/>
      <c r="G1486" s="14"/>
      <c r="H1486" s="16">
        <f t="shared" si="47"/>
        <v>34.62</v>
      </c>
      <c r="I1486" s="14">
        <v>37</v>
      </c>
    </row>
    <row r="1487" ht="24" customHeight="1" spans="1:9">
      <c r="A1487" s="14" t="str">
        <f>"15133021029"</f>
        <v>15133021029</v>
      </c>
      <c r="B1487" s="15" t="s">
        <v>46</v>
      </c>
      <c r="C1487" s="14" t="s">
        <v>11</v>
      </c>
      <c r="D1487" s="16">
        <v>56.54</v>
      </c>
      <c r="E1487" s="16">
        <f t="shared" si="46"/>
        <v>33.924</v>
      </c>
      <c r="F1487" s="14"/>
      <c r="G1487" s="14"/>
      <c r="H1487" s="16">
        <f t="shared" si="47"/>
        <v>33.924</v>
      </c>
      <c r="I1487" s="14">
        <v>38</v>
      </c>
    </row>
    <row r="1488" ht="24" customHeight="1" spans="1:9">
      <c r="A1488" s="14" t="str">
        <f>"15133021110"</f>
        <v>15133021110</v>
      </c>
      <c r="B1488" s="15" t="s">
        <v>46</v>
      </c>
      <c r="C1488" s="14" t="s">
        <v>11</v>
      </c>
      <c r="D1488" s="16">
        <v>54.64</v>
      </c>
      <c r="E1488" s="16">
        <f t="shared" si="46"/>
        <v>32.784</v>
      </c>
      <c r="F1488" s="14"/>
      <c r="G1488" s="14"/>
      <c r="H1488" s="16">
        <f t="shared" si="47"/>
        <v>32.784</v>
      </c>
      <c r="I1488" s="14">
        <v>39</v>
      </c>
    </row>
    <row r="1489" ht="24" customHeight="1" spans="1:9">
      <c r="A1489" s="14" t="str">
        <f>"15133021109"</f>
        <v>15133021109</v>
      </c>
      <c r="B1489" s="15" t="s">
        <v>46</v>
      </c>
      <c r="C1489" s="14" t="s">
        <v>11</v>
      </c>
      <c r="D1489" s="16">
        <v>54.11</v>
      </c>
      <c r="E1489" s="16">
        <f t="shared" si="46"/>
        <v>32.466</v>
      </c>
      <c r="F1489" s="14"/>
      <c r="G1489" s="14"/>
      <c r="H1489" s="16">
        <f t="shared" si="47"/>
        <v>32.466</v>
      </c>
      <c r="I1489" s="14">
        <v>40</v>
      </c>
    </row>
    <row r="1490" ht="24" customHeight="1" spans="1:9">
      <c r="A1490" s="14" t="str">
        <f>"15133021114"</f>
        <v>15133021114</v>
      </c>
      <c r="B1490" s="15" t="s">
        <v>46</v>
      </c>
      <c r="C1490" s="14" t="s">
        <v>11</v>
      </c>
      <c r="D1490" s="16">
        <v>53.22</v>
      </c>
      <c r="E1490" s="16">
        <f t="shared" si="46"/>
        <v>31.932</v>
      </c>
      <c r="F1490" s="14"/>
      <c r="G1490" s="14"/>
      <c r="H1490" s="16">
        <f t="shared" si="47"/>
        <v>31.932</v>
      </c>
      <c r="I1490" s="14">
        <v>41</v>
      </c>
    </row>
    <row r="1491" ht="24" customHeight="1" spans="1:9">
      <c r="A1491" s="14" t="str">
        <f>"15133021128"</f>
        <v>15133021128</v>
      </c>
      <c r="B1491" s="15" t="s">
        <v>46</v>
      </c>
      <c r="C1491" s="14" t="s">
        <v>11</v>
      </c>
      <c r="D1491" s="16">
        <v>51.94</v>
      </c>
      <c r="E1491" s="16">
        <f t="shared" si="46"/>
        <v>31.164</v>
      </c>
      <c r="F1491" s="14"/>
      <c r="G1491" s="14"/>
      <c r="H1491" s="16">
        <f t="shared" si="47"/>
        <v>31.164</v>
      </c>
      <c r="I1491" s="14">
        <v>42</v>
      </c>
    </row>
    <row r="1492" ht="24" customHeight="1" spans="1:9">
      <c r="A1492" s="11" t="str">
        <f>"15134021210"</f>
        <v>15134021210</v>
      </c>
      <c r="B1492" s="12" t="s">
        <v>47</v>
      </c>
      <c r="C1492" s="11" t="s">
        <v>11</v>
      </c>
      <c r="D1492" s="13">
        <v>77.44</v>
      </c>
      <c r="E1492" s="13">
        <f t="shared" si="46"/>
        <v>46.464</v>
      </c>
      <c r="F1492" s="11"/>
      <c r="G1492" s="11"/>
      <c r="H1492" s="13">
        <f t="shared" si="47"/>
        <v>46.464</v>
      </c>
      <c r="I1492" s="11">
        <v>1</v>
      </c>
    </row>
    <row r="1493" ht="24" customHeight="1" spans="1:9">
      <c r="A1493" s="11" t="str">
        <f>"15134021209"</f>
        <v>15134021209</v>
      </c>
      <c r="B1493" s="12" t="s">
        <v>47</v>
      </c>
      <c r="C1493" s="11" t="s">
        <v>12</v>
      </c>
      <c r="D1493" s="13">
        <v>70</v>
      </c>
      <c r="E1493" s="13">
        <f t="shared" si="46"/>
        <v>42</v>
      </c>
      <c r="F1493" s="11">
        <v>2.5</v>
      </c>
      <c r="G1493" s="11"/>
      <c r="H1493" s="13">
        <f t="shared" si="47"/>
        <v>44.5</v>
      </c>
      <c r="I1493" s="11">
        <v>2</v>
      </c>
    </row>
    <row r="1494" ht="24" customHeight="1" spans="1:9">
      <c r="A1494" s="11" t="str">
        <f>"15134021213"</f>
        <v>15134021213</v>
      </c>
      <c r="B1494" s="12" t="s">
        <v>47</v>
      </c>
      <c r="C1494" s="11" t="s">
        <v>11</v>
      </c>
      <c r="D1494" s="13">
        <v>73.22</v>
      </c>
      <c r="E1494" s="13">
        <f t="shared" si="46"/>
        <v>43.932</v>
      </c>
      <c r="F1494" s="11"/>
      <c r="G1494" s="11"/>
      <c r="H1494" s="13">
        <f t="shared" si="47"/>
        <v>43.932</v>
      </c>
      <c r="I1494" s="11">
        <v>3</v>
      </c>
    </row>
    <row r="1495" ht="24" customHeight="1" spans="1:9">
      <c r="A1495" s="11" t="str">
        <f>"15134021208"</f>
        <v>15134021208</v>
      </c>
      <c r="B1495" s="12" t="s">
        <v>47</v>
      </c>
      <c r="C1495" s="11" t="s">
        <v>11</v>
      </c>
      <c r="D1495" s="13">
        <v>70.9</v>
      </c>
      <c r="E1495" s="13">
        <f t="shared" si="46"/>
        <v>42.54</v>
      </c>
      <c r="F1495" s="11"/>
      <c r="G1495" s="11"/>
      <c r="H1495" s="13">
        <f t="shared" si="47"/>
        <v>42.54</v>
      </c>
      <c r="I1495" s="11">
        <v>4</v>
      </c>
    </row>
    <row r="1496" ht="24" customHeight="1" spans="1:9">
      <c r="A1496" s="11" t="str">
        <f>"15134021214"</f>
        <v>15134021214</v>
      </c>
      <c r="B1496" s="12" t="s">
        <v>47</v>
      </c>
      <c r="C1496" s="11" t="s">
        <v>11</v>
      </c>
      <c r="D1496" s="13">
        <v>68.74</v>
      </c>
      <c r="E1496" s="13">
        <f t="shared" si="46"/>
        <v>41.244</v>
      </c>
      <c r="F1496" s="11"/>
      <c r="G1496" s="11"/>
      <c r="H1496" s="13">
        <f t="shared" si="47"/>
        <v>41.244</v>
      </c>
      <c r="I1496" s="11">
        <v>5</v>
      </c>
    </row>
    <row r="1497" ht="24" customHeight="1" spans="1:9">
      <c r="A1497" s="11" t="str">
        <f>"15134021212"</f>
        <v>15134021212</v>
      </c>
      <c r="B1497" s="12" t="s">
        <v>47</v>
      </c>
      <c r="C1497" s="11" t="s">
        <v>11</v>
      </c>
      <c r="D1497" s="13">
        <v>68.21</v>
      </c>
      <c r="E1497" s="13">
        <f t="shared" si="46"/>
        <v>40.926</v>
      </c>
      <c r="F1497" s="11"/>
      <c r="G1497" s="11"/>
      <c r="H1497" s="13">
        <f t="shared" si="47"/>
        <v>40.926</v>
      </c>
      <c r="I1497" s="11">
        <v>6</v>
      </c>
    </row>
    <row r="1498" ht="24" customHeight="1" spans="1:9">
      <c r="A1498" s="11" t="str">
        <f>"15134021211"</f>
        <v>15134021211</v>
      </c>
      <c r="B1498" s="12" t="s">
        <v>47</v>
      </c>
      <c r="C1498" s="11" t="s">
        <v>11</v>
      </c>
      <c r="D1498" s="13">
        <v>66.43</v>
      </c>
      <c r="E1498" s="13">
        <f t="shared" si="46"/>
        <v>39.858</v>
      </c>
      <c r="F1498" s="11"/>
      <c r="G1498" s="11"/>
      <c r="H1498" s="13">
        <f t="shared" si="47"/>
        <v>39.858</v>
      </c>
      <c r="I1498" s="11">
        <v>7</v>
      </c>
    </row>
    <row r="1499" ht="24" customHeight="1" spans="1:9">
      <c r="A1499" s="11" t="str">
        <f>"15134021217"</f>
        <v>15134021217</v>
      </c>
      <c r="B1499" s="12" t="s">
        <v>47</v>
      </c>
      <c r="C1499" s="11" t="s">
        <v>11</v>
      </c>
      <c r="D1499" s="13">
        <v>64.98</v>
      </c>
      <c r="E1499" s="13">
        <f t="shared" si="46"/>
        <v>38.988</v>
      </c>
      <c r="F1499" s="11"/>
      <c r="G1499" s="11"/>
      <c r="H1499" s="13">
        <f t="shared" si="47"/>
        <v>38.988</v>
      </c>
      <c r="I1499" s="11">
        <v>8</v>
      </c>
    </row>
    <row r="1500" ht="24" customHeight="1" spans="1:9">
      <c r="A1500" s="11" t="str">
        <f>"15134021207"</f>
        <v>15134021207</v>
      </c>
      <c r="B1500" s="12" t="s">
        <v>47</v>
      </c>
      <c r="C1500" s="11" t="s">
        <v>11</v>
      </c>
      <c r="D1500" s="13">
        <v>62.72</v>
      </c>
      <c r="E1500" s="13">
        <f t="shared" si="46"/>
        <v>37.632</v>
      </c>
      <c r="F1500" s="11"/>
      <c r="G1500" s="11"/>
      <c r="H1500" s="13">
        <f t="shared" si="47"/>
        <v>37.632</v>
      </c>
      <c r="I1500" s="11">
        <v>9</v>
      </c>
    </row>
    <row r="1501" ht="24" customHeight="1" spans="1:9">
      <c r="A1501" s="14" t="str">
        <f>"15134021219"</f>
        <v>15134021219</v>
      </c>
      <c r="B1501" s="15" t="s">
        <v>47</v>
      </c>
      <c r="C1501" s="14" t="s">
        <v>11</v>
      </c>
      <c r="D1501" s="16">
        <v>60.92</v>
      </c>
      <c r="E1501" s="16">
        <f t="shared" si="46"/>
        <v>36.552</v>
      </c>
      <c r="F1501" s="14"/>
      <c r="G1501" s="14"/>
      <c r="H1501" s="16">
        <f t="shared" si="47"/>
        <v>36.552</v>
      </c>
      <c r="I1501" s="14">
        <v>10</v>
      </c>
    </row>
    <row r="1502" ht="24" customHeight="1" spans="1:9">
      <c r="A1502" s="14" t="str">
        <f>"15134021215"</f>
        <v>15134021215</v>
      </c>
      <c r="B1502" s="15" t="s">
        <v>47</v>
      </c>
      <c r="C1502" s="14" t="s">
        <v>11</v>
      </c>
      <c r="D1502" s="16">
        <v>58.74</v>
      </c>
      <c r="E1502" s="16">
        <f t="shared" si="46"/>
        <v>35.244</v>
      </c>
      <c r="F1502" s="14"/>
      <c r="G1502" s="14"/>
      <c r="H1502" s="16">
        <f t="shared" si="47"/>
        <v>35.244</v>
      </c>
      <c r="I1502" s="14">
        <v>11</v>
      </c>
    </row>
    <row r="1503" ht="24" customHeight="1" spans="1:9">
      <c r="A1503" s="14" t="str">
        <f>"15134021206"</f>
        <v>15134021206</v>
      </c>
      <c r="B1503" s="15" t="s">
        <v>47</v>
      </c>
      <c r="C1503" s="14" t="s">
        <v>11</v>
      </c>
      <c r="D1503" s="16">
        <v>57.96</v>
      </c>
      <c r="E1503" s="16">
        <f t="shared" si="46"/>
        <v>34.776</v>
      </c>
      <c r="F1503" s="14"/>
      <c r="G1503" s="14"/>
      <c r="H1503" s="16">
        <f t="shared" si="47"/>
        <v>34.776</v>
      </c>
      <c r="I1503" s="14">
        <v>12</v>
      </c>
    </row>
    <row r="1504" ht="24" customHeight="1" spans="1:9">
      <c r="A1504" s="14" t="str">
        <f>"15134021218"</f>
        <v>15134021218</v>
      </c>
      <c r="B1504" s="15" t="s">
        <v>47</v>
      </c>
      <c r="C1504" s="14" t="s">
        <v>11</v>
      </c>
      <c r="D1504" s="16">
        <v>55.78</v>
      </c>
      <c r="E1504" s="16">
        <f t="shared" si="46"/>
        <v>33.468</v>
      </c>
      <c r="F1504" s="14"/>
      <c r="G1504" s="14"/>
      <c r="H1504" s="16">
        <f t="shared" si="47"/>
        <v>33.468</v>
      </c>
      <c r="I1504" s="14">
        <v>13</v>
      </c>
    </row>
    <row r="1505" ht="24" customHeight="1" spans="1:9">
      <c r="A1505" s="14" t="str">
        <f>"15134021216"</f>
        <v>15134021216</v>
      </c>
      <c r="B1505" s="15" t="s">
        <v>47</v>
      </c>
      <c r="C1505" s="14" t="s">
        <v>11</v>
      </c>
      <c r="D1505" s="16">
        <v>-1</v>
      </c>
      <c r="E1505" s="16">
        <f t="shared" si="46"/>
        <v>-0.6</v>
      </c>
      <c r="F1505" s="14"/>
      <c r="G1505" s="14"/>
      <c r="H1505" s="16">
        <f t="shared" si="47"/>
        <v>-0.6</v>
      </c>
      <c r="I1505" s="14">
        <v>14</v>
      </c>
    </row>
  </sheetData>
  <autoFilter ref="A2:J1505">
    <sortState ref="A2:J1505">
      <sortCondition ref="B2:B1505"/>
    </sortState>
    <extLst/>
  </autoFilter>
  <mergeCells count="1">
    <mergeCell ref="A1:I1"/>
  </mergeCells>
  <pageMargins left="0.75" right="0.75" top="0.904166666666667" bottom="0.354166666666667" header="0.510416666666667" footer="0.313888888888889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火龙果</cp:lastModifiedBy>
  <dcterms:created xsi:type="dcterms:W3CDTF">2021-05-05T10:28:00Z</dcterms:created>
  <cp:lastPrinted>2021-05-10T08:45:00Z</cp:lastPrinted>
  <dcterms:modified xsi:type="dcterms:W3CDTF">2021-05-11T11:04:58Z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ICV">
    <vt:lpwstr>DF2358374F0C46228EE91ECE8B0D64C2</vt:lpwstr>
  </property>
</Properties>
</file>